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S DE GESTIÓN POR PROCESOS\"/>
    </mc:Choice>
  </mc:AlternateContent>
  <bookViews>
    <workbookView xWindow="0" yWindow="0" windowWidth="20490" windowHeight="7650" tabRatio="818"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62913"/>
  <pivotCaches>
    <pivotCache cacheId="0" r:id="rId11"/>
  </pivotCaches>
</workbook>
</file>

<file path=xl/calcChain.xml><?xml version="1.0" encoding="utf-8"?>
<calcChain xmlns="http://schemas.openxmlformats.org/spreadsheetml/2006/main">
  <c r="V14" i="1" l="1"/>
  <c r="S14" i="1"/>
  <c r="V13" i="1"/>
  <c r="S13" i="1"/>
  <c r="V12" i="1"/>
  <c r="S12" i="1"/>
  <c r="J28" i="1"/>
  <c r="J34" i="1"/>
  <c r="K34" i="1" s="1"/>
  <c r="J40" i="1"/>
  <c r="K40" i="1" s="1"/>
  <c r="J46" i="1"/>
  <c r="K46" i="1" s="1"/>
  <c r="J52" i="1"/>
  <c r="K52" i="1" s="1"/>
  <c r="J58" i="1"/>
  <c r="K58" i="1" s="1"/>
  <c r="J64" i="1"/>
  <c r="K64" i="1" s="1"/>
  <c r="V33" i="1"/>
  <c r="S33" i="1"/>
  <c r="V32" i="1"/>
  <c r="S32" i="1"/>
  <c r="V31" i="1"/>
  <c r="S31" i="1"/>
  <c r="AD32" i="1" s="1"/>
  <c r="AC32" i="1" s="1"/>
  <c r="V30" i="1"/>
  <c r="S30" i="1"/>
  <c r="V29" i="1"/>
  <c r="S29" i="1"/>
  <c r="V28" i="1"/>
  <c r="S28" i="1"/>
  <c r="V15" i="1"/>
  <c r="V11" i="1"/>
  <c r="M47" i="1"/>
  <c r="M33" i="1"/>
  <c r="M37" i="1"/>
  <c r="M61" i="1"/>
  <c r="M43" i="1"/>
  <c r="M54" i="1"/>
  <c r="M53" i="1"/>
  <c r="M50" i="1"/>
  <c r="M38" i="1"/>
  <c r="M45" i="1"/>
  <c r="M65" i="1"/>
  <c r="M36" i="1"/>
  <c r="M30" i="1"/>
  <c r="M29" i="1"/>
  <c r="M51" i="1"/>
  <c r="M31" i="1"/>
  <c r="M67" i="1"/>
  <c r="M55" i="1"/>
  <c r="M62" i="1"/>
  <c r="M42" i="1"/>
  <c r="M59" i="1"/>
  <c r="M49" i="1"/>
  <c r="M57" i="1"/>
  <c r="M39" i="1"/>
  <c r="M48" i="1"/>
  <c r="M68" i="1"/>
  <c r="M41" i="1"/>
  <c r="M63" i="1"/>
  <c r="M56" i="1"/>
  <c r="M69" i="1"/>
  <c r="M32" i="1"/>
  <c r="M35" i="1"/>
  <c r="M60" i="1"/>
  <c r="M66" i="1"/>
  <c r="M44" i="1"/>
  <c r="Z12" i="1" l="1"/>
  <c r="Z30" i="1"/>
  <c r="AA30" i="1" s="1"/>
  <c r="AD31" i="1"/>
  <c r="AC31" i="1" s="1"/>
  <c r="AD29" i="1"/>
  <c r="AC29" i="1" s="1"/>
  <c r="AD33" i="1"/>
  <c r="AC33" i="1" s="1"/>
  <c r="K28" i="1"/>
  <c r="Z28" i="1"/>
  <c r="Z32" i="1"/>
  <c r="AD28" i="1"/>
  <c r="AC28" i="1" s="1"/>
  <c r="AD30" i="1"/>
  <c r="AC30" i="1" s="1"/>
  <c r="Z29" i="1"/>
  <c r="Z31" i="1"/>
  <c r="Z33" i="1"/>
  <c r="AB12" i="1" l="1"/>
  <c r="Z13" i="1" s="1"/>
  <c r="AA12" i="1"/>
  <c r="AB30" i="1"/>
  <c r="AB32" i="1"/>
  <c r="AA32" i="1"/>
  <c r="AE32" i="1" s="1"/>
  <c r="AB31" i="1"/>
  <c r="AA31" i="1"/>
  <c r="AE31" i="1" s="1"/>
  <c r="AB28" i="1"/>
  <c r="AA28" i="1"/>
  <c r="AE28" i="1" s="1"/>
  <c r="AA33" i="1"/>
  <c r="AE33" i="1" s="1"/>
  <c r="AB33" i="1"/>
  <c r="AB29" i="1"/>
  <c r="AA29" i="1"/>
  <c r="AE29" i="1" s="1"/>
  <c r="AE30" i="1"/>
  <c r="AB13" i="1" l="1"/>
  <c r="Z14" i="1" s="1"/>
  <c r="AA13" i="1"/>
  <c r="S11" i="1"/>
  <c r="F217" i="13"/>
  <c r="S15" i="1"/>
  <c r="AB14" i="1" l="1"/>
  <c r="AA14" i="1"/>
  <c r="AD15" i="1"/>
  <c r="AC15" i="1" s="1"/>
  <c r="V10" i="1" l="1"/>
  <c r="S10" i="1"/>
  <c r="J10" i="1" l="1"/>
  <c r="K10" i="1" s="1"/>
  <c r="F221" i="13" l="1"/>
  <c r="F211" i="13"/>
  <c r="F212" i="13"/>
  <c r="F213" i="13"/>
  <c r="F214" i="13"/>
  <c r="F215" i="13"/>
  <c r="F216" i="13"/>
  <c r="F218" i="13"/>
  <c r="F219" i="13"/>
  <c r="F220" i="13"/>
  <c r="F210" i="13"/>
  <c r="M12" i="1"/>
  <c r="M13" i="1"/>
  <c r="M11" i="1"/>
  <c r="B221" i="13" a="1"/>
  <c r="M15" i="1"/>
  <c r="M14" i="1"/>
  <c r="B221" i="13" l="1"/>
  <c r="S5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9" i="1" l="1"/>
  <c r="S69" i="1"/>
  <c r="V68" i="1"/>
  <c r="S68" i="1"/>
  <c r="V67" i="1"/>
  <c r="S67" i="1"/>
  <c r="V66" i="1"/>
  <c r="S66" i="1"/>
  <c r="V65" i="1"/>
  <c r="S65" i="1"/>
  <c r="V64" i="1"/>
  <c r="S64" i="1"/>
  <c r="V63" i="1"/>
  <c r="S63" i="1"/>
  <c r="V62" i="1"/>
  <c r="S62" i="1"/>
  <c r="V61" i="1"/>
  <c r="S61" i="1"/>
  <c r="V60" i="1"/>
  <c r="S60" i="1"/>
  <c r="V59" i="1"/>
  <c r="S59" i="1"/>
  <c r="V58" i="1"/>
  <c r="S58" i="1"/>
  <c r="V57" i="1"/>
  <c r="S57" i="1"/>
  <c r="V56" i="1"/>
  <c r="S56" i="1"/>
  <c r="V55" i="1"/>
  <c r="S55" i="1"/>
  <c r="V54" i="1"/>
  <c r="S54" i="1"/>
  <c r="V53" i="1"/>
  <c r="S53" i="1"/>
  <c r="AD53" i="1" s="1"/>
  <c r="V52" i="1"/>
  <c r="AD65" i="1" l="1"/>
  <c r="AD59" i="1"/>
  <c r="Z64" i="1"/>
  <c r="Z58" i="1"/>
  <c r="Z52" i="1"/>
  <c r="AA64" i="1" l="1"/>
  <c r="AB64" i="1"/>
  <c r="Z65" i="1" s="1"/>
  <c r="AA65" i="1" s="1"/>
  <c r="AA58" i="1"/>
  <c r="AB58" i="1"/>
  <c r="Z59" i="1" s="1"/>
  <c r="AB59" i="1" s="1"/>
  <c r="Z60" i="1" s="1"/>
  <c r="AA52" i="1"/>
  <c r="AB52" i="1"/>
  <c r="Z53" i="1" s="1"/>
  <c r="AB53" i="1" s="1"/>
  <c r="Z54" i="1" s="1"/>
  <c r="AA59" i="1" l="1"/>
  <c r="AA53" i="1"/>
  <c r="AB60" i="1"/>
  <c r="Z61" i="1" s="1"/>
  <c r="AA60" i="1"/>
  <c r="AB54" i="1"/>
  <c r="Z55" i="1" s="1"/>
  <c r="AA54" i="1"/>
  <c r="AB65" i="1"/>
  <c r="Z66"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61" i="1" l="1"/>
  <c r="AB61" i="1"/>
  <c r="AA55" i="1"/>
  <c r="AB55" i="1"/>
  <c r="Z56" i="1" s="1"/>
  <c r="AA66" i="1"/>
  <c r="AB66" i="1"/>
  <c r="Z67" i="1" s="1"/>
  <c r="AA56" i="1" l="1"/>
  <c r="AB56" i="1"/>
  <c r="Z57" i="1" s="1"/>
  <c r="Z62" i="1"/>
  <c r="Z63" i="1"/>
  <c r="AB67" i="1"/>
  <c r="AA67" i="1"/>
  <c r="AA63" i="1" l="1"/>
  <c r="AB63" i="1"/>
  <c r="AA62" i="1"/>
  <c r="AB62" i="1"/>
  <c r="AA57" i="1"/>
  <c r="AB57" i="1"/>
  <c r="Z68" i="1"/>
  <c r="Z69" i="1"/>
  <c r="Z10" i="1"/>
  <c r="AA10" i="1" s="1"/>
  <c r="AA69" i="1" l="1"/>
  <c r="AB69" i="1"/>
  <c r="AA68" i="1"/>
  <c r="AB68" i="1"/>
  <c r="AB10" i="1" l="1"/>
  <c r="Z11" i="1" s="1"/>
  <c r="AA11" i="1" l="1"/>
  <c r="AB11" i="1"/>
  <c r="AD64" i="1"/>
  <c r="AC64" i="1" l="1"/>
  <c r="AD66" i="1"/>
  <c r="AD58" i="1"/>
  <c r="AD52" i="1"/>
  <c r="AC52"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4" i="1"/>
  <c r="P25" i="19"/>
  <c r="V55" i="19"/>
  <c r="J15" i="19"/>
  <c r="AB15" i="19"/>
  <c r="J35" i="19"/>
  <c r="AB35" i="19"/>
  <c r="J55" i="19"/>
  <c r="AB25" i="19"/>
  <c r="P35" i="19"/>
  <c r="P55" i="19"/>
  <c r="AB45" i="19"/>
  <c r="P15" i="19"/>
  <c r="AE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8" i="1"/>
  <c r="AC65"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66" i="1"/>
  <c r="AD67"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53" i="1"/>
  <c r="AD54" i="1"/>
  <c r="AC59" i="1"/>
  <c r="AD60" i="1"/>
  <c r="Z15" i="1" l="1"/>
  <c r="AC67" i="1"/>
  <c r="AD68" i="1"/>
  <c r="K35" i="19"/>
  <c r="AC25" i="19"/>
  <c r="K45" i="19"/>
  <c r="AI45" i="19"/>
  <c r="W45" i="19"/>
  <c r="Q35" i="19"/>
  <c r="K55" i="19"/>
  <c r="AC15" i="19"/>
  <c r="Q15" i="19"/>
  <c r="AC35" i="19"/>
  <c r="AI35" i="19"/>
  <c r="Q55" i="19"/>
  <c r="AI25" i="19"/>
  <c r="AE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4" i="1"/>
  <c r="AD55"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60" i="1"/>
  <c r="AD6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3"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A15" i="1" l="1"/>
  <c r="AE15" i="1" s="1"/>
  <c r="AB15" i="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5" i="1"/>
  <c r="AD56" i="1"/>
  <c r="AC68" i="1"/>
  <c r="AD69" i="1"/>
  <c r="AC69" i="1" s="1"/>
  <c r="AJ43" i="19"/>
  <c r="AD33" i="19"/>
  <c r="X33" i="19"/>
  <c r="X13" i="19"/>
  <c r="AD43" i="19"/>
  <c r="L43" i="19"/>
  <c r="AE54" i="1"/>
  <c r="X23" i="19"/>
  <c r="R33" i="19"/>
  <c r="R43" i="19"/>
  <c r="AD53" i="19"/>
  <c r="AJ13" i="19"/>
  <c r="R23" i="19"/>
  <c r="R13" i="19"/>
  <c r="AJ53" i="19"/>
  <c r="L33" i="19"/>
  <c r="L23" i="19"/>
  <c r="X43" i="19"/>
  <c r="X53" i="19"/>
  <c r="AD13" i="19"/>
  <c r="L53" i="19"/>
  <c r="L13" i="19"/>
  <c r="AD23" i="19"/>
  <c r="AJ33" i="19"/>
  <c r="AJ23" i="19"/>
  <c r="R53" i="19"/>
  <c r="M55" i="19"/>
  <c r="AK15" i="19"/>
  <c r="AE25" i="19"/>
  <c r="AE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61" i="1"/>
  <c r="AD62"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6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1"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9"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6" i="1"/>
  <c r="AD57" i="1"/>
  <c r="AC5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62" i="1"/>
  <c r="AD63" i="1"/>
  <c r="AC63"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5" i="1"/>
  <c r="M33" i="19"/>
  <c r="AG24" i="19" l="1"/>
  <c r="O44" i="19"/>
  <c r="O24" i="19"/>
  <c r="AM14" i="19"/>
  <c r="AG34" i="19"/>
  <c r="O34" i="19"/>
  <c r="AA44" i="19"/>
  <c r="O14" i="19"/>
  <c r="AA54" i="19"/>
  <c r="U14" i="19"/>
  <c r="AM44" i="19"/>
  <c r="AA34" i="19"/>
  <c r="AM24" i="19"/>
  <c r="AM54" i="19"/>
  <c r="AG14" i="19"/>
  <c r="AM34" i="19"/>
  <c r="U54" i="19"/>
  <c r="AG44" i="19"/>
  <c r="AA24" i="19"/>
  <c r="AG54" i="19"/>
  <c r="U34" i="19"/>
  <c r="U24" i="19"/>
  <c r="AE63" i="1"/>
  <c r="AA14" i="19"/>
  <c r="O54" i="19"/>
  <c r="U44" i="19"/>
  <c r="U43" i="19"/>
  <c r="U13" i="19"/>
  <c r="AM53" i="19"/>
  <c r="AA53" i="19"/>
  <c r="AA43" i="19"/>
  <c r="O53" i="19"/>
  <c r="O23" i="19"/>
  <c r="O13" i="19"/>
  <c r="AG43" i="19"/>
  <c r="U33" i="19"/>
  <c r="U23" i="19"/>
  <c r="AM13" i="19"/>
  <c r="AM23" i="19"/>
  <c r="AG13" i="19"/>
  <c r="AA23" i="19"/>
  <c r="AG33" i="19"/>
  <c r="AA33" i="19"/>
  <c r="AM33" i="19"/>
  <c r="AA13" i="19"/>
  <c r="AE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2" i="1"/>
  <c r="AF53" i="19"/>
  <c r="T43" i="19"/>
  <c r="Z53" i="19"/>
  <c r="N43" i="19"/>
  <c r="T23" i="19"/>
  <c r="AF43" i="19"/>
  <c r="Z13" i="19"/>
  <c r="Z43" i="19"/>
  <c r="AF23" i="19"/>
  <c r="AL13" i="19"/>
  <c r="Z23" i="19"/>
  <c r="AL43" i="19"/>
  <c r="AF13" i="19"/>
  <c r="AL23" i="19"/>
  <c r="N13" i="19"/>
  <c r="T33" i="19"/>
  <c r="AL53" i="19"/>
  <c r="N23" i="19"/>
  <c r="N53" i="19"/>
  <c r="AF33" i="19"/>
  <c r="N33" i="19"/>
  <c r="AE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46" i="1" l="1"/>
  <c r="N46" i="1" s="1"/>
  <c r="M10" i="1"/>
  <c r="N10" i="1" s="1"/>
  <c r="M28" i="1"/>
  <c r="N28" i="1" s="1"/>
  <c r="M52" i="1"/>
  <c r="N52" i="1" s="1"/>
  <c r="M34" i="1"/>
  <c r="N34" i="1" s="1"/>
  <c r="M58" i="1"/>
  <c r="N58" i="1" s="1"/>
  <c r="M40" i="1"/>
  <c r="N40" i="1" s="1"/>
  <c r="M64" i="1"/>
  <c r="N64" i="1" s="1"/>
  <c r="O64" i="1" l="1"/>
  <c r="P64" i="1"/>
  <c r="V12" i="18"/>
  <c r="V36" i="18"/>
  <c r="V20" i="18"/>
  <c r="AH28" i="18"/>
  <c r="J28" i="18"/>
  <c r="P20" i="18"/>
  <c r="V44" i="18"/>
  <c r="AB20" i="18"/>
  <c r="AH36" i="18"/>
  <c r="J36" i="18"/>
  <c r="AB36" i="18"/>
  <c r="J12" i="18"/>
  <c r="J44" i="18"/>
  <c r="AB28" i="18"/>
  <c r="AH12" i="18"/>
  <c r="J20" i="18"/>
  <c r="P12" i="18"/>
  <c r="P28" i="18"/>
  <c r="P44" i="18"/>
  <c r="AB12" i="18"/>
  <c r="AB44" i="18"/>
  <c r="P36" i="18"/>
  <c r="V28" i="18"/>
  <c r="AH44" i="18"/>
  <c r="AH20" i="18"/>
  <c r="O58" i="1"/>
  <c r="P58" i="1"/>
  <c r="Z42" i="18"/>
  <c r="T18" i="18"/>
  <c r="N18" i="18"/>
  <c r="T26" i="18"/>
  <c r="AF34" i="18"/>
  <c r="N42" i="18"/>
  <c r="Z18" i="18"/>
  <c r="N10" i="18"/>
  <c r="AF26" i="18"/>
  <c r="Z10" i="18"/>
  <c r="AL34" i="18"/>
  <c r="N26" i="18"/>
  <c r="AL18" i="18"/>
  <c r="AL42" i="18"/>
  <c r="AF42" i="18"/>
  <c r="AF18" i="18"/>
  <c r="Z26" i="18"/>
  <c r="AF10" i="18"/>
  <c r="N34" i="18"/>
  <c r="T10" i="18"/>
  <c r="T42" i="18"/>
  <c r="Z34" i="18"/>
  <c r="T34" i="18"/>
  <c r="AL10" i="18"/>
  <c r="AL26" i="18"/>
  <c r="O34" i="1"/>
  <c r="P34" i="1"/>
  <c r="L16" i="18"/>
  <c r="AJ16" i="18"/>
  <c r="R8" i="18"/>
  <c r="R32" i="18"/>
  <c r="AD8" i="18"/>
  <c r="X40" i="18"/>
  <c r="AJ24" i="18"/>
  <c r="AJ32" i="18"/>
  <c r="L32" i="18"/>
  <c r="X8" i="18"/>
  <c r="R40" i="18"/>
  <c r="L40" i="18"/>
  <c r="X16" i="18"/>
  <c r="AJ40" i="18"/>
  <c r="R16" i="18"/>
  <c r="AD40" i="18"/>
  <c r="AD32" i="18"/>
  <c r="X32" i="18"/>
  <c r="AD24" i="18"/>
  <c r="L24" i="18"/>
  <c r="X24" i="18"/>
  <c r="AD16" i="18"/>
  <c r="AJ8" i="18"/>
  <c r="R24" i="18"/>
  <c r="L8" i="18"/>
  <c r="O52" i="1"/>
  <c r="P52" i="1"/>
  <c r="R18" i="18"/>
  <c r="AJ10" i="18"/>
  <c r="L18" i="18"/>
  <c r="AJ34" i="18"/>
  <c r="R26" i="18"/>
  <c r="AJ42" i="18"/>
  <c r="R10" i="18"/>
  <c r="AD34" i="18"/>
  <c r="R34" i="18"/>
  <c r="L34" i="18"/>
  <c r="AJ18" i="18"/>
  <c r="X42" i="18"/>
  <c r="R42" i="18"/>
  <c r="X26" i="18"/>
  <c r="AD26" i="18"/>
  <c r="AJ26" i="18"/>
  <c r="X34" i="18"/>
  <c r="L10" i="18"/>
  <c r="X10" i="18"/>
  <c r="AD18" i="18"/>
  <c r="AD10" i="18"/>
  <c r="X18" i="18"/>
  <c r="L42" i="18"/>
  <c r="L26" i="18"/>
  <c r="AD42" i="18"/>
  <c r="O28" i="1"/>
  <c r="P28" i="1"/>
  <c r="P16" i="18"/>
  <c r="P40" i="18"/>
  <c r="V32" i="18"/>
  <c r="V8" i="18"/>
  <c r="AH24" i="18"/>
  <c r="AH8" i="18"/>
  <c r="P24" i="18"/>
  <c r="J8" i="18"/>
  <c r="AB32" i="18"/>
  <c r="AB8" i="18"/>
  <c r="AB40" i="18"/>
  <c r="J24" i="18"/>
  <c r="J32" i="18"/>
  <c r="P8" i="18"/>
  <c r="AH32" i="18"/>
  <c r="AH16" i="18"/>
  <c r="V16" i="18"/>
  <c r="AH40" i="18"/>
  <c r="AB16" i="18"/>
  <c r="V40" i="18"/>
  <c r="AB24" i="18"/>
  <c r="J16" i="18"/>
  <c r="P32" i="18"/>
  <c r="V24" i="18"/>
  <c r="J40" i="18"/>
  <c r="J30" i="18"/>
  <c r="P38" i="18"/>
  <c r="AB6" i="18"/>
  <c r="J38" i="18"/>
  <c r="AH6" i="18"/>
  <c r="V6" i="18"/>
  <c r="J14" i="18"/>
  <c r="J6" i="18"/>
  <c r="P30" i="18"/>
  <c r="AH22" i="18"/>
  <c r="P6" i="18"/>
  <c r="AB38" i="18"/>
  <c r="P22" i="18"/>
  <c r="AB30" i="18"/>
  <c r="O10" i="1"/>
  <c r="AD10" i="1" s="1"/>
  <c r="AH38" i="18"/>
  <c r="AH30" i="18"/>
  <c r="J22" i="18"/>
  <c r="V38" i="18"/>
  <c r="P10" i="1"/>
  <c r="P14" i="18"/>
  <c r="V22" i="18"/>
  <c r="V14" i="18"/>
  <c r="AB22" i="18"/>
  <c r="V30" i="18"/>
  <c r="AB14" i="18"/>
  <c r="AH14" i="18"/>
  <c r="O46" i="1"/>
  <c r="P46" i="1"/>
  <c r="AB10" i="18"/>
  <c r="J18" i="18"/>
  <c r="P18" i="18"/>
  <c r="AB26" i="18"/>
  <c r="J26" i="18"/>
  <c r="AH10" i="18"/>
  <c r="AB42" i="18"/>
  <c r="V18" i="18"/>
  <c r="AB34" i="18"/>
  <c r="V10" i="18"/>
  <c r="AH26" i="18"/>
  <c r="V42" i="18"/>
  <c r="P26" i="18"/>
  <c r="AB18" i="18"/>
  <c r="J42" i="18"/>
  <c r="P34" i="18"/>
  <c r="P42" i="18"/>
  <c r="AH34" i="18"/>
  <c r="P10" i="18"/>
  <c r="V34" i="18"/>
  <c r="V26" i="18"/>
  <c r="AH42" i="18"/>
  <c r="AH18" i="18"/>
  <c r="J34" i="18"/>
  <c r="J10" i="18"/>
  <c r="L30" i="18"/>
  <c r="R38" i="18"/>
  <c r="AJ14" i="18"/>
  <c r="R14" i="18"/>
  <c r="L6" i="18"/>
  <c r="AD30" i="18"/>
  <c r="AJ38" i="18"/>
  <c r="AJ22" i="18"/>
  <c r="X30" i="18"/>
  <c r="AJ6" i="18"/>
  <c r="L38" i="18"/>
  <c r="AD14" i="18"/>
  <c r="L14" i="18"/>
  <c r="AD6" i="18"/>
  <c r="X38" i="18"/>
  <c r="L22" i="18"/>
  <c r="R6" i="18"/>
  <c r="X14" i="18"/>
  <c r="X22" i="18"/>
  <c r="X6" i="18"/>
  <c r="AJ30" i="18"/>
  <c r="R22" i="18"/>
  <c r="R30" i="18"/>
  <c r="AD38" i="18"/>
  <c r="AD22" i="18"/>
  <c r="O40" i="1"/>
  <c r="P40" i="1"/>
  <c r="AL32" i="18"/>
  <c r="N40" i="18"/>
  <c r="AF16" i="18"/>
  <c r="AL40" i="18"/>
  <c r="T8" i="18"/>
  <c r="T40" i="18"/>
  <c r="AF8" i="18"/>
  <c r="Z16" i="18"/>
  <c r="N8" i="18"/>
  <c r="AF32" i="18"/>
  <c r="AF40" i="18"/>
  <c r="AF24" i="18"/>
  <c r="AL8" i="18"/>
  <c r="AL24" i="18"/>
  <c r="N32" i="18"/>
  <c r="Z40" i="18"/>
  <c r="T24" i="18"/>
  <c r="Z8" i="18"/>
  <c r="Z32" i="18"/>
  <c r="N16" i="18"/>
  <c r="AL16" i="18"/>
  <c r="N24" i="18"/>
  <c r="T32" i="18"/>
  <c r="Z24" i="18"/>
  <c r="T16" i="18"/>
  <c r="AL6" i="18"/>
  <c r="Z30" i="18"/>
  <c r="N30" i="18"/>
  <c r="Z22" i="18"/>
  <c r="Z6" i="18"/>
  <c r="AL38" i="18"/>
  <c r="N14" i="18"/>
  <c r="T14" i="18"/>
  <c r="AL14" i="18"/>
  <c r="N22" i="18"/>
  <c r="T22" i="18"/>
  <c r="AF6" i="18"/>
  <c r="AF38" i="18"/>
  <c r="Z38" i="18"/>
  <c r="T38" i="18"/>
  <c r="N6" i="18"/>
  <c r="AL22" i="18"/>
  <c r="T6" i="18"/>
  <c r="AF22" i="18"/>
  <c r="AL30" i="18"/>
  <c r="T30" i="18"/>
  <c r="N38" i="18"/>
  <c r="AF30" i="18"/>
  <c r="Z14" i="18"/>
  <c r="AF14" i="18"/>
  <c r="AC10" i="1" l="1"/>
  <c r="AE10" i="1" s="1"/>
  <c r="AD11" i="1"/>
  <c r="AD12" i="1" s="1"/>
  <c r="AC12" i="1" l="1"/>
  <c r="AE12" i="1" s="1"/>
  <c r="AD13" i="1"/>
  <c r="AB48" i="19"/>
  <c r="P48" i="19"/>
  <c r="P38" i="19"/>
  <c r="AH28" i="19"/>
  <c r="J8" i="19"/>
  <c r="P28" i="19"/>
  <c r="V28" i="19"/>
  <c r="V48" i="19"/>
  <c r="J28" i="19"/>
  <c r="V18" i="19"/>
  <c r="AB28" i="19"/>
  <c r="AH48" i="19"/>
  <c r="AB8" i="19"/>
  <c r="P18" i="19"/>
  <c r="J48" i="19"/>
  <c r="J38" i="19"/>
  <c r="AH18" i="19"/>
  <c r="V8" i="19"/>
  <c r="AH8" i="19"/>
  <c r="J18" i="19"/>
  <c r="AB18" i="19"/>
  <c r="AH38" i="19"/>
  <c r="P8" i="19"/>
  <c r="AB38" i="19"/>
  <c r="V38" i="19"/>
  <c r="K8" i="19"/>
  <c r="AI18" i="19"/>
  <c r="Q18" i="19"/>
  <c r="AC18" i="19"/>
  <c r="W18" i="19"/>
  <c r="Q48" i="19"/>
  <c r="Q28" i="19"/>
  <c r="W28" i="19"/>
  <c r="W8" i="19"/>
  <c r="K48" i="19"/>
  <c r="K38" i="19"/>
  <c r="K28" i="19"/>
  <c r="AI28" i="19"/>
  <c r="W38" i="19"/>
  <c r="Q38" i="19"/>
  <c r="K18" i="19"/>
  <c r="W48" i="19"/>
  <c r="AC28" i="19"/>
  <c r="AC8" i="19"/>
  <c r="AI8" i="19"/>
  <c r="AC38" i="19"/>
  <c r="AI48" i="19"/>
  <c r="Q8" i="19"/>
  <c r="AC48" i="19"/>
  <c r="AI38" i="19"/>
  <c r="AH7" i="19"/>
  <c r="AB7" i="19"/>
  <c r="J37" i="19"/>
  <c r="J17" i="19"/>
  <c r="AB37" i="19"/>
  <c r="V37" i="19"/>
  <c r="AB17" i="19"/>
  <c r="P37" i="19"/>
  <c r="V17" i="19"/>
  <c r="P47" i="19"/>
  <c r="AB47" i="19"/>
  <c r="J47" i="19"/>
  <c r="P27" i="19"/>
  <c r="V7" i="19"/>
  <c r="AB27" i="19"/>
  <c r="J27" i="19"/>
  <c r="P17" i="19"/>
  <c r="AH47" i="19"/>
  <c r="P7" i="19"/>
  <c r="V27" i="19"/>
  <c r="V47" i="19"/>
  <c r="J7" i="19"/>
  <c r="AH27" i="19"/>
  <c r="AH17" i="19"/>
  <c r="AH37" i="19"/>
  <c r="AC11" i="1"/>
  <c r="V16" i="19"/>
  <c r="J26" i="19"/>
  <c r="J6" i="19"/>
  <c r="AB46" i="19"/>
  <c r="AH16" i="19"/>
  <c r="P26" i="19"/>
  <c r="J46" i="19"/>
  <c r="AH46" i="19"/>
  <c r="AH6" i="19"/>
  <c r="J36" i="19"/>
  <c r="AH36" i="19"/>
  <c r="V6" i="19"/>
  <c r="V46" i="19"/>
  <c r="P6" i="19"/>
  <c r="V26" i="19"/>
  <c r="AH26" i="19"/>
  <c r="P16" i="19"/>
  <c r="AB6" i="19"/>
  <c r="J16" i="19"/>
  <c r="P36" i="19"/>
  <c r="AB16" i="19"/>
  <c r="AB26" i="19"/>
  <c r="AB36" i="19"/>
  <c r="P46" i="19"/>
  <c r="V36" i="19"/>
  <c r="AC13" i="1" l="1"/>
  <c r="AE13" i="1" s="1"/>
  <c r="AD14" i="1"/>
  <c r="AC14" i="1" s="1"/>
  <c r="AI6" i="19"/>
  <c r="AE11" i="1"/>
  <c r="L7" i="19"/>
  <c r="K47" i="19"/>
  <c r="AI37" i="19"/>
  <c r="W7" i="19"/>
  <c r="AI27" i="19"/>
  <c r="AC37" i="19"/>
  <c r="K7" i="19"/>
  <c r="K17" i="19"/>
  <c r="AI17" i="19"/>
  <c r="AC17" i="19"/>
  <c r="AC27" i="19"/>
  <c r="K27" i="19"/>
  <c r="Q27" i="19"/>
  <c r="AI7" i="19"/>
  <c r="Q7" i="19"/>
  <c r="AC7" i="19"/>
  <c r="AC47" i="19"/>
  <c r="W27" i="19"/>
  <c r="AI47" i="19"/>
  <c r="Q37" i="19"/>
  <c r="W26" i="19"/>
  <c r="Q17" i="19"/>
  <c r="K37" i="19"/>
  <c r="Q47" i="19"/>
  <c r="W17" i="19"/>
  <c r="W47" i="19"/>
  <c r="W37" i="19"/>
  <c r="K16" i="19"/>
  <c r="AC6" i="19"/>
  <c r="Q26" i="19"/>
  <c r="W36" i="19"/>
  <c r="Q46" i="19"/>
  <c r="K36" i="19"/>
  <c r="W6" i="19"/>
  <c r="AC16" i="19"/>
  <c r="AC26" i="19"/>
  <c r="AI36" i="19"/>
  <c r="Q6" i="19"/>
  <c r="AI26" i="19"/>
  <c r="AC46" i="19"/>
  <c r="W16" i="19"/>
  <c r="AI46" i="19"/>
  <c r="W46" i="19"/>
  <c r="AC36" i="19"/>
  <c r="K46" i="19"/>
  <c r="K26" i="19"/>
  <c r="Q36" i="19"/>
  <c r="AI16" i="19"/>
  <c r="Q16" i="19"/>
  <c r="K6" i="19"/>
  <c r="AE14" i="1" l="1"/>
  <c r="AF26" i="19"/>
  <c r="N26" i="19"/>
  <c r="N6" i="19"/>
  <c r="AF6" i="19"/>
  <c r="T16" i="19"/>
  <c r="AF36" i="19"/>
  <c r="Z6" i="19"/>
  <c r="Z16" i="19"/>
  <c r="N16" i="19"/>
  <c r="AL16" i="19"/>
  <c r="Z46" i="19"/>
  <c r="Z36" i="19"/>
  <c r="AF16" i="19"/>
  <c r="T26" i="19"/>
  <c r="AL26" i="19"/>
  <c r="AL36" i="19"/>
  <c r="N46" i="19"/>
  <c r="AF46" i="19"/>
  <c r="N36" i="19"/>
  <c r="Z26" i="19"/>
  <c r="T46" i="19"/>
  <c r="AL46" i="19"/>
  <c r="AL6" i="19"/>
  <c r="T6" i="19"/>
  <c r="T36" i="19"/>
  <c r="X36" i="19"/>
  <c r="AD27" i="19"/>
  <c r="R16" i="19"/>
  <c r="L46" i="19"/>
  <c r="AJ6" i="19"/>
  <c r="AD6" i="19"/>
  <c r="X26" i="19"/>
  <c r="L16" i="19"/>
  <c r="R26" i="19"/>
  <c r="AD46" i="19"/>
  <c r="AD16" i="19"/>
  <c r="R36" i="19"/>
  <c r="L26" i="19"/>
  <c r="X6" i="19"/>
  <c r="AD36" i="19"/>
  <c r="AJ16" i="19"/>
  <c r="AJ46" i="19"/>
  <c r="L36" i="19"/>
  <c r="R46" i="19"/>
  <c r="R6" i="19"/>
  <c r="L6" i="19"/>
  <c r="X16" i="19"/>
  <c r="X46" i="19"/>
  <c r="AJ26" i="19"/>
  <c r="AD26" i="19"/>
  <c r="AJ36" i="19"/>
  <c r="AE16" i="19"/>
  <c r="AK26" i="19"/>
  <c r="AK6" i="19"/>
  <c r="AK46" i="19"/>
  <c r="M6" i="19"/>
  <c r="S16" i="19"/>
  <c r="Y36" i="19"/>
  <c r="M46" i="19"/>
  <c r="Y26" i="19"/>
  <c r="AK16" i="19"/>
  <c r="Y6" i="19"/>
  <c r="S6" i="19"/>
  <c r="S36" i="19"/>
  <c r="AE46" i="19"/>
  <c r="M26" i="19"/>
  <c r="AK36" i="19"/>
  <c r="AE36" i="19"/>
  <c r="M16" i="19"/>
  <c r="Y46" i="19"/>
  <c r="M36" i="19"/>
  <c r="S46" i="19"/>
  <c r="S26" i="19"/>
  <c r="Y16" i="19"/>
  <c r="AE26" i="19"/>
  <c r="AE6" i="19"/>
  <c r="AJ37" i="19"/>
  <c r="R7" i="19"/>
  <c r="L17" i="19"/>
  <c r="X47" i="19"/>
  <c r="X7" i="19"/>
  <c r="R17" i="19"/>
  <c r="L27" i="19"/>
  <c r="AJ7" i="19"/>
  <c r="X17" i="19"/>
  <c r="X27" i="19"/>
  <c r="AJ17" i="19"/>
  <c r="R47" i="19"/>
  <c r="L37" i="19"/>
  <c r="AD37" i="19"/>
  <c r="L47" i="19"/>
  <c r="AD47" i="19"/>
  <c r="AJ27" i="19"/>
  <c r="X37" i="19"/>
  <c r="R37" i="19"/>
  <c r="AD17" i="19"/>
  <c r="AD7" i="19"/>
  <c r="AJ47" i="19"/>
  <c r="R27" i="19"/>
  <c r="S7" i="19"/>
  <c r="M47" i="19"/>
  <c r="S17" i="19"/>
  <c r="M17" i="19"/>
  <c r="AE47" i="19"/>
  <c r="AK7" i="19"/>
  <c r="AE17" i="19"/>
  <c r="Y17" i="19"/>
  <c r="AK47" i="19"/>
  <c r="M37" i="19"/>
  <c r="AK17" i="19"/>
  <c r="AK27" i="19"/>
  <c r="AE7" i="19"/>
  <c r="AK37" i="19"/>
  <c r="Y47" i="19"/>
  <c r="S27" i="19"/>
  <c r="Y7" i="19"/>
  <c r="M27" i="19"/>
  <c r="S37" i="19"/>
  <c r="Y37" i="19"/>
  <c r="S47" i="19"/>
  <c r="AE27" i="19"/>
  <c r="AE37" i="19"/>
  <c r="M7" i="19"/>
  <c r="Y27" i="19"/>
</calcChain>
</file>

<file path=xl/comments1.xml><?xml version="1.0" encoding="utf-8"?>
<comments xmlns="http://schemas.openxmlformats.org/spreadsheetml/2006/main">
  <authors>
    <author>MONI</author>
  </authors>
  <commentList>
    <comment ref="I10" authorId="0" shapeId="0">
      <text>
        <r>
          <rPr>
            <b/>
            <sz val="9"/>
            <color indexed="81"/>
            <rFont val="Tahoma"/>
            <family val="2"/>
          </rPr>
          <t>MONI:</t>
        </r>
        <r>
          <rPr>
            <sz val="9"/>
            <color indexed="81"/>
            <rFont val="Tahoma"/>
            <family val="2"/>
          </rPr>
          <t xml:space="preserve">
Se cuenta el promedio de contratos sin adiciones, teniendo en cuenta que mensualmente se revisa las necesidades para cumpliento de metas</t>
        </r>
      </text>
    </comment>
    <comment ref="I16" authorId="0" shapeId="0">
      <text>
        <r>
          <rPr>
            <b/>
            <sz val="9"/>
            <color indexed="81"/>
            <rFont val="Tahoma"/>
            <family val="2"/>
          </rPr>
          <t>MONI:</t>
        </r>
        <r>
          <rPr>
            <sz val="9"/>
            <color indexed="81"/>
            <rFont val="Tahoma"/>
            <family val="2"/>
          </rPr>
          <t xml:space="preserve">
Se establece como Diaria, porque los recursos tecnológicos están expuestos ante cualquier eventualidad</t>
        </r>
      </text>
    </comment>
    <comment ref="I22" authorId="0" shapeId="0">
      <text>
        <r>
          <rPr>
            <b/>
            <sz val="9"/>
            <color indexed="81"/>
            <rFont val="Tahoma"/>
            <family val="2"/>
          </rPr>
          <t>MONI:</t>
        </r>
        <r>
          <rPr>
            <sz val="9"/>
            <color indexed="81"/>
            <rFont val="Tahoma"/>
            <family val="2"/>
          </rPr>
          <t xml:space="preserve">
Se da este valor porque porque diariamente se debe impactar a la comunicad con recursos tecnológicos</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<sst xmlns="http://schemas.openxmlformats.org/spreadsheetml/2006/main" count="526" uniqueCount="245">
  <si>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</si>
  <si>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</si>
  <si>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</si>
  <si>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</si>
  <si>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</si>
  <si>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</si>
  <si>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</si>
  <si>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</si>
  <si>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</si>
  <si>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</si>
  <si>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</si>
  <si>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</si>
  <si>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</si>
  <si>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</si>
  <si>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</si>
  <si>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</si>
  <si>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</si>
  <si>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</si>
  <si>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</si>
  <si>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</si>
  <si>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</si>
  <si>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</si>
  <si>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</si>
  <si>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</si>
  <si>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</si>
  <si>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</si>
  <si>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</si>
  <si>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</si>
  <si>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</si>
  <si>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</si>
  <si>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</si>
  <si>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</si>
  <si>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</si>
  <si>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</si>
  <si>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</si>
  <si>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</si>
  <si>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</si>
  <si>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</si>
  <si>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</si>
  <si>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</si>
  <si>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</si>
  <si>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</si>
  <si>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</si>
  <si>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</si>
  <si>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</si>
  <si>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</si>
  <si>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</si>
  <si>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</si>
  <si>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</si>
  <si>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</si>
  <si>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</si>
  <si>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</si>
  <si>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</si>
  <si>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</si>
  <si>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</si>
  <si>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</si>
  <si>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</si>
  <si>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</si>
  <si>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</si>
  <si>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</si>
  <si>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</si>
  <si>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</si>
  <si>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</si>
  <si>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</si>
  <si>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</si>
  <si>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</si>
  <si>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</si>
  <si>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</si>
  <si>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</si>
  <si>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</si>
  <si>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</si>
  <si>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</si>
  <si>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</si>
  <si>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</si>
  <si>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</si>
  <si>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</si>
  <si>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</si>
  <si>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</si>
  <si>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</si>
  <si>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</si>
  <si>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</si>
  <si>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</si>
  <si>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</si>
  <si>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</si>
  <si>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</si>
  <si>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</si>
  <si>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</si>
  <si>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</si>
  <si>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</si>
  <si>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</si>
  <si>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</si>
  <si>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</si>
  <si>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</si>
  <si>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</si>
  <si>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</si>
  <si>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</si>
  <si>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</si>
  <si>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</si>
  <si>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</si>
  <si>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</si>
  <si>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</si>
  <si>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</si>
  <si>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</si>
  <si>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</si>
  <si>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</si>
  <si>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</si>
  <si>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</si>
  <si>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</si>
  <si>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</si>
  <si>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</si>
  <si>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</si>
  <si>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</si>
  <si>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</si>
  <si>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</si>
  <si>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</si>
  <si>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</si>
  <si>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</si>
  <si>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</si>
  <si>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</si>
  <si>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</si>
  <si>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</si>
  <si>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</si>
  <si>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</si>
  <si>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</si>
  <si>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</si>
  <si>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</si>
  <si>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</si>
  <si>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</si>
  <si>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</si>
  <si>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</si>
  <si>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</si>
  <si>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</si>
  <si>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</si>
  <si>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</si>
  <si>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</si>
  <si>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</si>
  <si>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</si>
  <si>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</si>
  <si>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</si>
  <si>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</si>
  <si>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</si>
  <si>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</si>
  <si>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</si>
  <si>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</si>
  <si>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</si>
  <si>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</si>
  <si>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</si>
  <si>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</si>
  <si>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</si>
  <si>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</si>
  <si>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</si>
  <si>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</si>
  <si>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</si>
  <si>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</si>
  <si>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</si>
  <si>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</si>
  <si>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</si>
  <si>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</si>
  <si>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</si>
  <si>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</si>
  <si>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</si>
  <si>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</si>
  <si>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</si>
  <si>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</si>
  <si>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</si>
  <si>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</si>
  <si>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</si>
  <si>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</si>
  <si>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</si>
  <si>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</si>
  <si>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</si>
  <si>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</si>
  <si>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</si>
  <si>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</si>
  <si>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</si>
  <si>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</si>
  <si>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</si>
  <si>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</si>
  <si>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</si>
  <si>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</si>
  <si>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</si>
  <si>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</si>
  <si>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</si>
  <si>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</si>
  <si>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</si>
  <si>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</si>
  <si>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</si>
  <si>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</si>
  <si>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</si>
  <si>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</si>
  <si>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</si>
  <si>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</si>
  <si>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</si>
  <si>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</si>
  <si>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</si>
  <si>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</si>
  <si>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</si>
  <si>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</si>
  <si>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</si>
  <si>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</si>
  <si>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</si>
  <si>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</si>
  <si>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</si>
  <si>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</si>
  <si>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</si>
  <si>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</si>
  <si>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</si>
  <si>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</si>
  <si>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</si>
  <si>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</si>
  <si>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</si>
  <si>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</si>
  <si>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</si>
  <si>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</si>
  <si>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</si>
  <si>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Secretaría de las TIC</t>
  </si>
  <si>
    <t>INICIA CON LA FORMULACIÓN DE LA POLÍTICA PÚBLICA DE INNOVACIÓN Y TIC, CONTINÚA CON LA EJECUCIÓN Y SEGUIMIENTO DE LA POLÍTICA PÚBLICA, LA GESTIÓN DE PROYECTOS DE INNOVACIÓN Y TIC, LA GESTIÓN DE TIC PARA SERVICIOS Y GOBIERNO ABIERTO, FINALIZANDO CON EL SEGUIMIENTO Y EVALUACIÓN DEL PROCESO.</t>
  </si>
  <si>
    <t>GESTIÓN DE INNOVACION Y TIC</t>
  </si>
  <si>
    <t>Ausencia de Personal y personal sin la debida experiencia para el desarrollo de actividades en el PVD y/o VIVELAB o manejo y gestión de proyectos de ciencia tecnología e innovación</t>
  </si>
  <si>
    <t>Obsolescencia tecnológica que impacten los programas de masificación y apropiación de TIC</t>
  </si>
  <si>
    <t>Deterioro en la infraestructura de los centros tecnológicos provocado por el ambiente.</t>
  </si>
  <si>
    <t>D1;O5;O6: Obligatoriedad de metas en el plan Desarrollo para la  asignacion de recursos metas para cubrir necesidades de la comunidad para el uso y gestion TIC  e Investigacion de ciencia y tecnologia</t>
  </si>
  <si>
    <t>D3;O5: Fortalecer el grupo de Innovación con personal idóneo para el desarrollo de actividades propias de la Secretaria y el cumplimiento de metas del plan de desarrollo</t>
  </si>
  <si>
    <t>A1;A2;D1: Aplicar el procedimiento para efectuar mantenimiento a la infraestructura física, bienes muebles y recurso tecnológico.  A1;F5: Estabalece un buen canal de comunicación con los otros pocesos para el apoyo de seguridad o vigilancia  A2;D1: Solicitar vigilancia 24/7 en los Puntos Vive Digitale (Donde la alcaldía tiene moviliario a cargo) a recursos físicos.</t>
  </si>
  <si>
    <t xml:space="preserve"> La Secretario de las TIC en conjutno con Asesor y Profesional Especializado del Grupo de Innovación y TIC,  anualmente realiza procesos contractuales se adquiere de software y hardware con el objeto de potencializar los centros digitales y así mismo impulsar el uso y apropiación de las tecnologías de la información lo anterior contemplado en el plan de anual de adquisiciones,  plan operativo anual de inversión, plan anual de caja y plan de acción. Así mismo el mobiliario y los equipos tecnológicos se encuentran amparados en una póliza de seguro en caso eventuales de daños a equipos. Así mismo se hacen brigadas de mantenimiento preventivo y correctivo a los equipos. La evidencia reposa en Plataforma PISAMI y en la serie documental de Informe de Gestión de la Secretaría de las TIC. En caso de que no se asigne recursos económicos mediante adiciones presupuestales, justificando la necesidad.</t>
  </si>
  <si>
    <t>Ausencia de acciones estratégicas para el cumplimiento de la Política Pública de Ciencia, Tecnología e Innovación y el Plan de Desarrollo vigente</t>
  </si>
  <si>
    <t>Posible perdida reputacional y económica por Disminución de la credibilidad ante la ciudadania y disminución del presupuesto  asignado debido a la ausencia de acciónes estratégicas para el cumplimiento de la Política Pública de Ciencia, Tecnología e Innovación y Plan de Desarrollo vigente</t>
  </si>
  <si>
    <t>Recursos económicos insuficientes para el Cumplimiento de metas de la Polítca Polítca Pública de Ciencia Plan Desarrollo Municipal. (sostenimiento PVD o VIVELAB, Zonas WFI; Inversión en proyectos de CTeI; Desarrollo Feria y Semana CTeI; Uso y apropiación de TIC)</t>
  </si>
  <si>
    <t>Aislamientos preventivos obligatorios, establecidos por los organismos oficiales para mitigar la propagación de epidemias y/o pandemias;
Dificultades de orden público o de dificil acceso;
Desinterés de la comunidad para capacitarse en apropiación de las TIC;</t>
  </si>
  <si>
    <t>Desde la etapa de planeación, durante la ejecución y el seguimiento de las actividades para el cumplimiento de la Política Pública de CTeI y el plan de desarrollo vigente</t>
  </si>
  <si>
    <t xml:space="preserve"> La Secretario de las TIC en conjutno con Asesor y Profesional Especializado del Grupo de Innovación y TIC ) ,trimestralmente verifica el cumplimiento de los siguientes instrumentos (Plan de Acción Política Pública, plan de anual de adquisiciones, plan operativo anual de inversión, plan anual de caja y plan de acción de metas del plan de desarrollo) donde se encuentra progrmadas las líneas estratégicas con sus actividades, así mismo las metas de producto planteadas en el plan de desarrollo; la evidencia reposará en la serie documental de Informe de Gestión de la Secretaría de las TIC, también en el correo institucional innovaciontic@ibague.gov.co y Plataforma PISAMI. En caso de que no se asigne presupuesto, se debe contemplar alianzas públicas y/o solicitar recursos al alcalde justificando la necesidad.</t>
  </si>
  <si>
    <t xml:space="preserve"> La Secretario de las TIC en conjutno con Asesor y Profesional Especializado del Grupo de Innovación y TIC , anualmente verifica la necesidad de proveedores con las competencias para cumplir con las metas de la pólitica y el plan de desarrollo, con el objeto de brindar el servicio en los centros digitales, zonas de Wifi, Capacitaciones no Formales en TIC, formulación y radicación de proyectos que impacten a la comunidad ibaguereña; lo anterior contemplado en el plan de anual de adquisiciones,  plan operativo anual de inversión, plan anual de caja y plan de acción; la evidencia reposa en la plataforma PISAMI, Seguimiento del Plan de acción de la Política Pública, que deben cohincidir con los registros en el seguimiento de los proyectos de inversión y ejecución de metas del plan de desarrollo. En caso de que no se asigne presupuesto se debe contemplar alianzas o convenios público privadas para el cumplimiento de metas.</t>
  </si>
  <si>
    <t xml:space="preserve"> La Secretario de las TIC en conjutno con Asesor y Profesional Especializado del Grupo de Innovación y TIC y con el apoyo del proceso de Gestión de Recursos Físicos, anualmente fortalece la infraestructura de los centros digitales cuando éstos presentan eventos naturales, fallas estructurales y fallas del fluido eléctrico o por factores de orden público o ambientales.  Así mismo el mobiliario y los equipos tecnológicos se encuentran amparados en una póliza de seguro en caso eventuales de daños a equipos. La evidencia reposa en Plataforma PISAMI (Mmemorando, oficicios, circulaes) y en la serie documental de Informe de Gestión de la Secretaría de las TIC y proceso contractual en calidad de comodato o arriendo. Si se presenta el caso de que no se logre la alianza con la Secretaría Administrativa, se debe solicitar recursos económicos justificando la necesidad del servicio.</t>
  </si>
  <si>
    <t>La Secretaría de las TIC en conjutno con Asesor y Profesional Especializado del Grupo de Innovación y TIC, trimestralmente verifica el cumplimiento de las acciones en el Plan de Acción de la Política Pública y las mentas del Plan de desarrollo vigente, teniendo en cuenta el avance mediante el desarrollo estrategias de capacitaciones virtuales para incentivar el uso y apropiación de las TIC. La evidencia reposa en la plataforma ibagueaprendetic.ibague.gov.co, publicacion de oferta insticional, plataforma PISAMI, así mismo en los Formatos de Asistencia Externa que reposa en la gestión documental de la secretaría. Si se presenta el caso de que no se logre las mestas de capacitación se realizará alianzas público privadas para alcanzar el objetivo de la polítca.</t>
  </si>
  <si>
    <t>D2;O8: Realizacion de estudios económicos y análisis de mercado para la celebracion de contratos de tecnologico con el objeto de mejorar la infraestructura tecnológica;</t>
  </si>
  <si>
    <t>A2;D3: Cursos virtuales; Cursos Presenciales con Medidas de Bioseguridad; D1;O1;O3: Crear nuevos y manterner convenios de ofertas academicas gratuitas con entidades público o privadas aliadas para el desarrollo de metas en apropiación y uso de las  TICM; F1;F4;O1;O5: Convenios con entidades público o privadas para impulsar la transformación digital, la ciencia, la innovación e Investigación                                                       
D1;O2: Promover los PVD y VIVELAB a la comunidad por medios publicitarios para impulsar la transformación digital</t>
  </si>
  <si>
    <t>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  POLÍTICA PÚBLICA DE CIENCIA, TECNOLOGÍA E INNOVACIÓN Y PLAN DE DESARROLLO EN UN NIVEL DE CUMPLIMIENTO ESTIMADO EN EL 90%</t>
  </si>
  <si>
    <t>No cumplir anualmente con las metas o acciones de la política pública o plan de desarrollo establecidos ocasionando disminución de la credibilidad ante la ciudadanía y disminución del presupuesto  asignado</t>
  </si>
  <si>
    <t>Observación</t>
  </si>
  <si>
    <t>del 01/01/2023 al 31/12/2023</t>
  </si>
  <si>
    <t>Se adjunta imágens de Ejecución de los rubros 218320202008 y 218320202009, donde se demuestra el recurso econónico para la vigencia 2023</t>
  </si>
  <si>
    <t>Se cuenta con el siguiente personal de prestación de servicios
113 ALVARO FELIPE CRUZ CUBIDES
129 LEWIN ALBEIRO FRANCO BARRAGAN
143 JULIAN JAVIER RODRIGUEZ GARCIA
214 FABIO ANDRES ROJAS BARRAGAN
216 OSCAR JULIAN  BONILLA CARVAJAL
348 LUIS EDUARDO SALAS OROZCO
349 GLORIA CONSUELO BOTERO RUIZ
Se cuenta con los siguientes contratos o comodatos para mantener los Puntos Vive Digitales
-65 Inversiones Spygga  Arriendo VIVELAB ubicado en la carrera 3 n 9-55 local 201-A
-3069 Comodato Junta de Acción comunal Barrio Rodríguez Andrade
-3291 Comodato Junta de Acción comunal Barrio San Pedro Alejandrino</t>
  </si>
  <si>
    <t>Durante el bimestre no se registra acciones para esta subcausa</t>
  </si>
  <si>
    <t>Solicitud de vigilancia de seguridad para los Puntos Vive Digitales, para garantizar la protección a los elementos a cargo de la Alcaldía, mediante los siguientes documentos adjuntos al acta de seguimiento
Oficio 2023-012148 de fecha 20/02/2023 SOLICITUD DE VIGILANCIA PARA PUNTO VIVELAB
Oficio 2023-011979 de fecha 17/02/2023 SOLICITUD DE VIGILANCIA PARA LOS PUNTOS VIVE DIGITALES</t>
  </si>
  <si>
    <t>Se realiza actividad durante el bimestre de 2023, con el ánimo de brindar a la comunidad ibaguereña el buen uso de la tecnología. 
'- Capacitación en Python a la comunidad ibaguereña, las cuales se han desarrollado de manera presencial en el VIVELAB, donde podemos se logra el interés de 160 personas, actualmente contamos con la presencia de 25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</si>
</sst>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top style="dashed">
        <color theme="9" tint="-0.249977111117893"/>
      </top>
      <bottom/>
      <diagonal/>
    </border>
    <border>
      <left style="dashed">
        <color theme="9" tint="-0.249977111117893"/>
      </left>
      <right/>
      <top/>
      <bottom/>
      <diagonal/>
    </border>
    <border>
      <left style="dashed">
        <color theme="9" tint="-0.249977111117893"/>
      </left>
      <right/>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5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3" borderId="75" xfId="0" applyFont="1" applyFill="1" applyBorder="1" applyAlignment="1">
      <alignment vertical="center" wrapText="1"/>
    </xf>
    <xf numFmtId="14" fontId="27" fillId="0" borderId="2" xfId="0" applyNumberFormat="1" applyFont="1" applyBorder="1" applyAlignment="1" applyProtection="1">
      <alignment horizontal="center" vertical="top" wrapText="1"/>
      <protection locked="0"/>
    </xf>
    <xf numFmtId="14" fontId="1" fillId="0" borderId="2" xfId="0" applyNumberFormat="1" applyFont="1" applyBorder="1" applyAlignment="1" applyProtection="1">
      <alignment horizontal="center" vertical="top" wrapText="1"/>
      <protection locked="0"/>
    </xf>
    <xf numFmtId="0" fontId="1" fillId="0" borderId="75"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27" fillId="3" borderId="75" xfId="0" applyFont="1" applyFill="1" applyBorder="1" applyAlignment="1">
      <alignment horizontal="left" vertical="center" wrapText="1"/>
    </xf>
    <xf numFmtId="0" fontId="2" fillId="0" borderId="2" xfId="0" applyFont="1" applyBorder="1" applyAlignment="1" applyProtection="1">
      <alignment horizontal="justify" vertical="top" wrapText="1"/>
      <protection locked="0"/>
    </xf>
    <xf numFmtId="14" fontId="27" fillId="0" borderId="2" xfId="0" applyNumberFormat="1" applyFont="1" applyBorder="1" applyAlignment="1" applyProtection="1">
      <alignment horizontal="justify" vertical="top" wrapText="1"/>
      <protection locked="0"/>
    </xf>
    <xf numFmtId="14" fontId="6" fillId="0" borderId="2" xfId="0" applyNumberFormat="1" applyFont="1" applyBorder="1" applyAlignment="1" applyProtection="1">
      <alignment horizontal="justify" vertical="top" wrapText="1"/>
      <protection locked="0"/>
    </xf>
    <xf numFmtId="0" fontId="46" fillId="0" borderId="64" xfId="2" applyFont="1" applyBorder="1" applyAlignment="1">
      <alignment horizontal="justify" vertical="center" wrapText="1"/>
    </xf>
    <xf numFmtId="0" fontId="46" fillId="0" borderId="65" xfId="2" applyFont="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0" borderId="60" xfId="2" applyFont="1" applyBorder="1" applyAlignment="1">
      <alignment horizontal="justify" vertical="center" wrapText="1"/>
    </xf>
    <xf numFmtId="0" fontId="46" fillId="0" borderId="61" xfId="2" applyFont="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2" fillId="0" borderId="77"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2" fillId="0" borderId="79"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7" fillId="3" borderId="75" xfId="0" applyFont="1" applyFill="1" applyBorder="1" applyAlignment="1" applyProtection="1">
      <alignment horizontal="left" vertical="center"/>
      <protection locked="0"/>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50" fillId="0" borderId="75" xfId="0" applyFont="1" applyBorder="1" applyAlignment="1" applyProtection="1">
      <alignment horizontal="center" vertical="top" wrapText="1"/>
      <protection locked="0"/>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2" fillId="0" borderId="80" xfId="0" applyFont="1" applyBorder="1" applyAlignment="1" applyProtection="1">
      <alignment horizontal="center" vertical="top" wrapText="1"/>
      <protection locked="0"/>
    </xf>
    <xf numFmtId="0" fontId="2" fillId="0" borderId="81" xfId="0" applyFont="1" applyBorder="1" applyAlignment="1" applyProtection="1">
      <alignment horizontal="center" vertical="top" wrapText="1"/>
      <protection locked="0"/>
    </xf>
    <xf numFmtId="0" fontId="2" fillId="0" borderId="82"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7" xfId="0" applyFont="1" applyBorder="1" applyAlignment="1" applyProtection="1">
      <alignment horizontal="center" vertical="top" wrapText="1"/>
      <protection locked="0"/>
    </xf>
    <xf numFmtId="0" fontId="50" fillId="0" borderId="78" xfId="0" applyFont="1" applyBorder="1" applyAlignment="1" applyProtection="1">
      <alignment horizontal="center" vertical="top" wrapText="1"/>
      <protection locked="0"/>
    </xf>
    <xf numFmtId="0" fontId="50" fillId="0" borderId="79" xfId="0"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03">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B17" zoomScale="130" zoomScaleNormal="130" workbookViewId="0">
      <selection activeCell="C19" sqref="C19:D19"/>
    </sheetView>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184" t="s">
        <v>154</v>
      </c>
      <c r="C2" s="185"/>
      <c r="D2" s="185"/>
      <c r="E2" s="185"/>
      <c r="F2" s="185"/>
      <c r="G2" s="185"/>
      <c r="H2" s="186"/>
    </row>
    <row r="3" spans="2:8" x14ac:dyDescent="0.25">
      <c r="B3" s="68"/>
      <c r="C3" s="69"/>
      <c r="D3" s="69"/>
      <c r="E3" s="69"/>
      <c r="F3" s="69"/>
      <c r="G3" s="69"/>
      <c r="H3" s="70"/>
    </row>
    <row r="4" spans="2:8" ht="63" customHeight="1" x14ac:dyDescent="0.25">
      <c r="B4" s="187" t="s">
        <v>197</v>
      </c>
      <c r="C4" s="188"/>
      <c r="D4" s="188"/>
      <c r="E4" s="188"/>
      <c r="F4" s="188"/>
      <c r="G4" s="188"/>
      <c r="H4" s="189"/>
    </row>
    <row r="5" spans="2:8" ht="63" customHeight="1" x14ac:dyDescent="0.25">
      <c r="B5" s="190"/>
      <c r="C5" s="191"/>
      <c r="D5" s="191"/>
      <c r="E5" s="191"/>
      <c r="F5" s="191"/>
      <c r="G5" s="191"/>
      <c r="H5" s="192"/>
    </row>
    <row r="6" spans="2:8" ht="16.5" x14ac:dyDescent="0.25">
      <c r="B6" s="193" t="s">
        <v>152</v>
      </c>
      <c r="C6" s="194"/>
      <c r="D6" s="194"/>
      <c r="E6" s="194"/>
      <c r="F6" s="194"/>
      <c r="G6" s="194"/>
      <c r="H6" s="195"/>
    </row>
    <row r="7" spans="2:8" ht="95.25" customHeight="1" x14ac:dyDescent="0.25">
      <c r="B7" s="203" t="s">
        <v>157</v>
      </c>
      <c r="C7" s="204"/>
      <c r="D7" s="204"/>
      <c r="E7" s="204"/>
      <c r="F7" s="204"/>
      <c r="G7" s="204"/>
      <c r="H7" s="205"/>
    </row>
    <row r="8" spans="2:8" ht="16.5" x14ac:dyDescent="0.25">
      <c r="B8" s="102"/>
      <c r="C8" s="103"/>
      <c r="D8" s="103"/>
      <c r="E8" s="103"/>
      <c r="F8" s="103"/>
      <c r="G8" s="103"/>
      <c r="H8" s="104"/>
    </row>
    <row r="9" spans="2:8" ht="16.5" customHeight="1" x14ac:dyDescent="0.25">
      <c r="B9" s="196" t="s">
        <v>190</v>
      </c>
      <c r="C9" s="197"/>
      <c r="D9" s="197"/>
      <c r="E9" s="197"/>
      <c r="F9" s="197"/>
      <c r="G9" s="197"/>
      <c r="H9" s="198"/>
    </row>
    <row r="10" spans="2:8" ht="44.25" customHeight="1" x14ac:dyDescent="0.25">
      <c r="B10" s="196"/>
      <c r="C10" s="197"/>
      <c r="D10" s="197"/>
      <c r="E10" s="197"/>
      <c r="F10" s="197"/>
      <c r="G10" s="197"/>
      <c r="H10" s="198"/>
    </row>
    <row r="11" spans="2:8" ht="15.75" thickBot="1" x14ac:dyDescent="0.3">
      <c r="B11" s="91"/>
      <c r="C11" s="94"/>
      <c r="D11" s="99"/>
      <c r="E11" s="100"/>
      <c r="F11" s="100"/>
      <c r="G11" s="101"/>
      <c r="H11" s="95"/>
    </row>
    <row r="12" spans="2:8" ht="15.75" thickTop="1" x14ac:dyDescent="0.25">
      <c r="B12" s="91"/>
      <c r="C12" s="199" t="s">
        <v>153</v>
      </c>
      <c r="D12" s="200"/>
      <c r="E12" s="201" t="s">
        <v>191</v>
      </c>
      <c r="F12" s="202"/>
      <c r="G12" s="94"/>
      <c r="H12" s="95"/>
    </row>
    <row r="13" spans="2:8" ht="35.25" customHeight="1" x14ac:dyDescent="0.25">
      <c r="B13" s="91"/>
      <c r="C13" s="169" t="s">
        <v>184</v>
      </c>
      <c r="D13" s="170"/>
      <c r="E13" s="171" t="s">
        <v>189</v>
      </c>
      <c r="F13" s="172"/>
      <c r="G13" s="94"/>
      <c r="H13" s="95"/>
    </row>
    <row r="14" spans="2:8" ht="17.25" customHeight="1" x14ac:dyDescent="0.25">
      <c r="B14" s="91"/>
      <c r="C14" s="169" t="s">
        <v>185</v>
      </c>
      <c r="D14" s="170"/>
      <c r="E14" s="171" t="s">
        <v>187</v>
      </c>
      <c r="F14" s="172"/>
      <c r="G14" s="94"/>
      <c r="H14" s="95"/>
    </row>
    <row r="15" spans="2:8" ht="19.5" customHeight="1" x14ac:dyDescent="0.25">
      <c r="B15" s="91"/>
      <c r="C15" s="169" t="s">
        <v>186</v>
      </c>
      <c r="D15" s="170"/>
      <c r="E15" s="171" t="s">
        <v>188</v>
      </c>
      <c r="F15" s="172"/>
      <c r="G15" s="94"/>
      <c r="H15" s="95"/>
    </row>
    <row r="16" spans="2:8" ht="69.75" customHeight="1" x14ac:dyDescent="0.25">
      <c r="B16" s="91"/>
      <c r="C16" s="169" t="s">
        <v>155</v>
      </c>
      <c r="D16" s="170"/>
      <c r="E16" s="171" t="s">
        <v>156</v>
      </c>
      <c r="F16" s="172"/>
      <c r="G16" s="94"/>
      <c r="H16" s="95"/>
    </row>
    <row r="17" spans="2:8" ht="34.5" customHeight="1" x14ac:dyDescent="0.25">
      <c r="B17" s="91"/>
      <c r="C17" s="173" t="s">
        <v>2</v>
      </c>
      <c r="D17" s="174"/>
      <c r="E17" s="165" t="s">
        <v>198</v>
      </c>
      <c r="F17" s="166"/>
      <c r="G17" s="94"/>
      <c r="H17" s="95"/>
    </row>
    <row r="18" spans="2:8" ht="27.75" customHeight="1" x14ac:dyDescent="0.25">
      <c r="B18" s="91"/>
      <c r="C18" s="173" t="s">
        <v>3</v>
      </c>
      <c r="D18" s="174"/>
      <c r="E18" s="165" t="s">
        <v>199</v>
      </c>
      <c r="F18" s="166"/>
      <c r="G18" s="94"/>
      <c r="H18" s="95"/>
    </row>
    <row r="19" spans="2:8" ht="28.5" customHeight="1" x14ac:dyDescent="0.25">
      <c r="B19" s="91"/>
      <c r="C19" s="173" t="s">
        <v>41</v>
      </c>
      <c r="D19" s="174"/>
      <c r="E19" s="165" t="s">
        <v>200</v>
      </c>
      <c r="F19" s="166"/>
      <c r="G19" s="94"/>
      <c r="H19" s="95"/>
    </row>
    <row r="20" spans="2:8" ht="72.75" customHeight="1" x14ac:dyDescent="0.25">
      <c r="B20" s="91"/>
      <c r="C20" s="173" t="s">
        <v>1</v>
      </c>
      <c r="D20" s="174"/>
      <c r="E20" s="165" t="s">
        <v>201</v>
      </c>
      <c r="F20" s="166"/>
      <c r="G20" s="94"/>
      <c r="H20" s="95"/>
    </row>
    <row r="21" spans="2:8" ht="64.5" customHeight="1" x14ac:dyDescent="0.25">
      <c r="B21" s="91"/>
      <c r="C21" s="173" t="s">
        <v>49</v>
      </c>
      <c r="D21" s="174"/>
      <c r="E21" s="165" t="s">
        <v>159</v>
      </c>
      <c r="F21" s="166"/>
      <c r="G21" s="94"/>
      <c r="H21" s="95"/>
    </row>
    <row r="22" spans="2:8" ht="71.25" customHeight="1" x14ac:dyDescent="0.25">
      <c r="B22" s="91"/>
      <c r="C22" s="173" t="s">
        <v>158</v>
      </c>
      <c r="D22" s="174"/>
      <c r="E22" s="165" t="s">
        <v>160</v>
      </c>
      <c r="F22" s="166"/>
      <c r="G22" s="94"/>
      <c r="H22" s="95"/>
    </row>
    <row r="23" spans="2:8" ht="55.5" customHeight="1" x14ac:dyDescent="0.25">
      <c r="B23" s="91"/>
      <c r="C23" s="167" t="s">
        <v>161</v>
      </c>
      <c r="D23" s="168"/>
      <c r="E23" s="165" t="s">
        <v>162</v>
      </c>
      <c r="F23" s="166"/>
      <c r="G23" s="94"/>
      <c r="H23" s="95"/>
    </row>
    <row r="24" spans="2:8" ht="42" customHeight="1" x14ac:dyDescent="0.25">
      <c r="B24" s="91"/>
      <c r="C24" s="167" t="s">
        <v>47</v>
      </c>
      <c r="D24" s="168"/>
      <c r="E24" s="165" t="s">
        <v>163</v>
      </c>
      <c r="F24" s="166"/>
      <c r="G24" s="94"/>
      <c r="H24" s="95"/>
    </row>
    <row r="25" spans="2:8" ht="59.25" customHeight="1" x14ac:dyDescent="0.25">
      <c r="B25" s="91"/>
      <c r="C25" s="167" t="s">
        <v>151</v>
      </c>
      <c r="D25" s="168"/>
      <c r="E25" s="165" t="s">
        <v>164</v>
      </c>
      <c r="F25" s="166"/>
      <c r="G25" s="94"/>
      <c r="H25" s="95"/>
    </row>
    <row r="26" spans="2:8" ht="23.25" customHeight="1" x14ac:dyDescent="0.25">
      <c r="B26" s="91"/>
      <c r="C26" s="167" t="s">
        <v>12</v>
      </c>
      <c r="D26" s="168"/>
      <c r="E26" s="165" t="s">
        <v>165</v>
      </c>
      <c r="F26" s="166"/>
      <c r="G26" s="94"/>
      <c r="H26" s="95"/>
    </row>
    <row r="27" spans="2:8" ht="30.75" customHeight="1" x14ac:dyDescent="0.25">
      <c r="B27" s="91"/>
      <c r="C27" s="167" t="s">
        <v>169</v>
      </c>
      <c r="D27" s="168"/>
      <c r="E27" s="165" t="s">
        <v>166</v>
      </c>
      <c r="F27" s="166"/>
      <c r="G27" s="94"/>
      <c r="H27" s="95"/>
    </row>
    <row r="28" spans="2:8" ht="35.25" customHeight="1" x14ac:dyDescent="0.25">
      <c r="B28" s="91"/>
      <c r="C28" s="167" t="s">
        <v>170</v>
      </c>
      <c r="D28" s="168"/>
      <c r="E28" s="165" t="s">
        <v>167</v>
      </c>
      <c r="F28" s="166"/>
      <c r="G28" s="94"/>
      <c r="H28" s="95"/>
    </row>
    <row r="29" spans="2:8" ht="33" customHeight="1" x14ac:dyDescent="0.25">
      <c r="B29" s="91"/>
      <c r="C29" s="167" t="s">
        <v>170</v>
      </c>
      <c r="D29" s="168"/>
      <c r="E29" s="165" t="s">
        <v>167</v>
      </c>
      <c r="F29" s="166"/>
      <c r="G29" s="94"/>
      <c r="H29" s="95"/>
    </row>
    <row r="30" spans="2:8" ht="30" customHeight="1" x14ac:dyDescent="0.25">
      <c r="B30" s="91"/>
      <c r="C30" s="167" t="s">
        <v>171</v>
      </c>
      <c r="D30" s="168"/>
      <c r="E30" s="165" t="s">
        <v>168</v>
      </c>
      <c r="F30" s="166"/>
      <c r="G30" s="94"/>
      <c r="H30" s="95"/>
    </row>
    <row r="31" spans="2:8" ht="35.25" customHeight="1" x14ac:dyDescent="0.25">
      <c r="B31" s="91"/>
      <c r="C31" s="167" t="s">
        <v>172</v>
      </c>
      <c r="D31" s="168"/>
      <c r="E31" s="165" t="s">
        <v>173</v>
      </c>
      <c r="F31" s="166"/>
      <c r="G31" s="94"/>
      <c r="H31" s="95"/>
    </row>
    <row r="32" spans="2:8" ht="31.5" customHeight="1" x14ac:dyDescent="0.25">
      <c r="B32" s="91"/>
      <c r="C32" s="167" t="s">
        <v>174</v>
      </c>
      <c r="D32" s="168"/>
      <c r="E32" s="165" t="s">
        <v>175</v>
      </c>
      <c r="F32" s="166"/>
      <c r="G32" s="94"/>
      <c r="H32" s="95"/>
    </row>
    <row r="33" spans="2:8" ht="35.25" customHeight="1" x14ac:dyDescent="0.25">
      <c r="B33" s="91"/>
      <c r="C33" s="167" t="s">
        <v>176</v>
      </c>
      <c r="D33" s="168"/>
      <c r="E33" s="165" t="s">
        <v>177</v>
      </c>
      <c r="F33" s="166"/>
      <c r="G33" s="94"/>
      <c r="H33" s="95"/>
    </row>
    <row r="34" spans="2:8" ht="59.25" customHeight="1" x14ac:dyDescent="0.25">
      <c r="B34" s="91"/>
      <c r="C34" s="167" t="s">
        <v>178</v>
      </c>
      <c r="D34" s="168"/>
      <c r="E34" s="165" t="s">
        <v>179</v>
      </c>
      <c r="F34" s="166"/>
      <c r="G34" s="94"/>
      <c r="H34" s="95"/>
    </row>
    <row r="35" spans="2:8" ht="29.25" customHeight="1" x14ac:dyDescent="0.25">
      <c r="B35" s="91"/>
      <c r="C35" s="167" t="s">
        <v>29</v>
      </c>
      <c r="D35" s="168"/>
      <c r="E35" s="182" t="s">
        <v>180</v>
      </c>
      <c r="F35" s="183"/>
      <c r="G35" s="94"/>
      <c r="H35" s="95"/>
    </row>
    <row r="36" spans="2:8" ht="82.5" customHeight="1" x14ac:dyDescent="0.25">
      <c r="B36" s="91"/>
      <c r="C36" s="167" t="s">
        <v>182</v>
      </c>
      <c r="D36" s="168"/>
      <c r="E36" s="182" t="s">
        <v>181</v>
      </c>
      <c r="F36" s="183"/>
      <c r="G36" s="94"/>
      <c r="H36" s="95"/>
    </row>
    <row r="37" spans="2:8" ht="46.5" customHeight="1" x14ac:dyDescent="0.25">
      <c r="B37" s="91"/>
      <c r="C37" s="167" t="s">
        <v>38</v>
      </c>
      <c r="D37" s="168"/>
      <c r="E37" s="182" t="s">
        <v>183</v>
      </c>
      <c r="F37" s="183"/>
      <c r="G37" s="94"/>
      <c r="H37" s="95"/>
    </row>
    <row r="38" spans="2:8" ht="6.75" customHeight="1" thickBot="1" x14ac:dyDescent="0.3">
      <c r="B38" s="91"/>
      <c r="C38" s="178"/>
      <c r="D38" s="179"/>
      <c r="E38" s="180"/>
      <c r="F38" s="181"/>
      <c r="G38" s="94"/>
      <c r="H38" s="95"/>
    </row>
    <row r="39" spans="2:8" ht="15.75" thickTop="1" x14ac:dyDescent="0.25">
      <c r="B39" s="91"/>
      <c r="C39" s="92"/>
      <c r="D39" s="92"/>
      <c r="E39" s="93"/>
      <c r="F39" s="93"/>
      <c r="G39" s="94"/>
      <c r="H39" s="95"/>
    </row>
    <row r="40" spans="2:8" ht="21" customHeight="1" x14ac:dyDescent="0.25">
      <c r="B40" s="175" t="s">
        <v>192</v>
      </c>
      <c r="C40" s="176"/>
      <c r="D40" s="176"/>
      <c r="E40" s="176"/>
      <c r="F40" s="176"/>
      <c r="G40" s="176"/>
      <c r="H40" s="177"/>
    </row>
    <row r="41" spans="2:8" ht="20.25" customHeight="1" x14ac:dyDescent="0.25">
      <c r="B41" s="175" t="s">
        <v>193</v>
      </c>
      <c r="C41" s="176"/>
      <c r="D41" s="176"/>
      <c r="E41" s="176"/>
      <c r="F41" s="176"/>
      <c r="G41" s="176"/>
      <c r="H41" s="177"/>
    </row>
    <row r="42" spans="2:8" ht="20.25" customHeight="1" x14ac:dyDescent="0.25">
      <c r="B42" s="175" t="s">
        <v>194</v>
      </c>
      <c r="C42" s="176"/>
      <c r="D42" s="176"/>
      <c r="E42" s="176"/>
      <c r="F42" s="176"/>
      <c r="G42" s="176"/>
      <c r="H42" s="177"/>
    </row>
    <row r="43" spans="2:8" ht="20.25" customHeight="1" x14ac:dyDescent="0.25">
      <c r="B43" s="175" t="s">
        <v>195</v>
      </c>
      <c r="C43" s="176"/>
      <c r="D43" s="176"/>
      <c r="E43" s="176"/>
      <c r="F43" s="176"/>
      <c r="G43" s="176"/>
      <c r="H43" s="177"/>
    </row>
    <row r="44" spans="2:8" x14ac:dyDescent="0.25">
      <c r="B44" s="175" t="s">
        <v>196</v>
      </c>
      <c r="C44" s="176"/>
      <c r="D44" s="176"/>
      <c r="E44" s="176"/>
      <c r="F44" s="176"/>
      <c r="G44" s="176"/>
      <c r="H44" s="177"/>
    </row>
    <row r="45" spans="2:8" ht="15.75" thickBot="1" x14ac:dyDescent="0.3">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R72"/>
  <sheetViews>
    <sheetView tabSelected="1" topLeftCell="E8" zoomScaleNormal="100" workbookViewId="0">
      <pane xSplit="3570" ySplit="2205" activePane="bottomRight"/>
      <selection activeCell="E8" sqref="A1:XFD1048576"/>
      <selection pane="topRight" activeCell="AK8" sqref="AK8:AK9"/>
      <selection pane="bottomLeft" activeCell="E14" sqref="E14"/>
      <selection pane="bottomRight" activeCell="C4" sqref="C4:AL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28.28515625" style="1" customWidth="1"/>
    <col min="14" max="14" width="17.5703125" style="1" customWidth="1"/>
    <col min="15" max="15" width="6.28515625" style="1" bestFit="1" customWidth="1"/>
    <col min="16" max="16" width="16" style="1" customWidth="1"/>
    <col min="17" max="17" width="5.85546875" style="1" customWidth="1"/>
    <col min="18" max="18" width="99.85546875" style="1" customWidth="1"/>
    <col min="19" max="19" width="15.140625" style="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customWidth="1"/>
    <col min="26" max="26" width="38.5703125" style="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46.140625" style="1" customWidth="1"/>
    <col min="34" max="34" width="18.85546875" style="1" customWidth="1"/>
    <col min="35" max="35" width="16.85546875" style="1" customWidth="1"/>
    <col min="36" max="36" width="18.5703125" style="1" customWidth="1"/>
    <col min="37" max="37" width="85.5703125" style="1" customWidth="1"/>
    <col min="38" max="38" width="21" style="1" customWidth="1"/>
    <col min="39" max="16384" width="11.42578125" style="1"/>
  </cols>
  <sheetData>
    <row r="1" spans="1:70" x14ac:dyDescent="0.3">
      <c r="A1" s="207" t="s">
        <v>138</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9"/>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x14ac:dyDescent="0.3">
      <c r="A2" s="210"/>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2"/>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3.25" x14ac:dyDescent="0.3">
      <c r="A4" s="260" t="s">
        <v>42</v>
      </c>
      <c r="B4" s="261"/>
      <c r="C4" s="270" t="s">
        <v>217</v>
      </c>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23.25" x14ac:dyDescent="0.3">
      <c r="A5" s="260" t="s">
        <v>124</v>
      </c>
      <c r="B5" s="261"/>
      <c r="C5" s="270" t="s">
        <v>236</v>
      </c>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23.25" x14ac:dyDescent="0.3">
      <c r="A6" s="260" t="s">
        <v>43</v>
      </c>
      <c r="B6" s="261"/>
      <c r="C6" s="206" t="s">
        <v>216</v>
      </c>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13" t="s">
        <v>133</v>
      </c>
      <c r="B7" s="214"/>
      <c r="C7" s="215"/>
      <c r="D7" s="215"/>
      <c r="E7" s="215"/>
      <c r="F7" s="215"/>
      <c r="G7" s="215"/>
      <c r="H7" s="215"/>
      <c r="I7" s="216"/>
      <c r="J7" s="217" t="s">
        <v>134</v>
      </c>
      <c r="K7" s="215"/>
      <c r="L7" s="215"/>
      <c r="M7" s="215"/>
      <c r="N7" s="215"/>
      <c r="O7" s="215"/>
      <c r="P7" s="216"/>
      <c r="Q7" s="217" t="s">
        <v>135</v>
      </c>
      <c r="R7" s="215"/>
      <c r="S7" s="215"/>
      <c r="T7" s="215"/>
      <c r="U7" s="215"/>
      <c r="V7" s="215"/>
      <c r="W7" s="215"/>
      <c r="X7" s="215"/>
      <c r="Y7" s="216"/>
      <c r="Z7" s="217" t="s">
        <v>136</v>
      </c>
      <c r="AA7" s="215"/>
      <c r="AB7" s="215"/>
      <c r="AC7" s="215"/>
      <c r="AD7" s="215"/>
      <c r="AE7" s="215"/>
      <c r="AF7" s="216"/>
      <c r="AG7" s="217" t="s">
        <v>34</v>
      </c>
      <c r="AH7" s="215"/>
      <c r="AI7" s="215"/>
      <c r="AJ7" s="215"/>
      <c r="AK7" s="215"/>
      <c r="AL7" s="216"/>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x14ac:dyDescent="0.3">
      <c r="A8" s="262" t="s">
        <v>0</v>
      </c>
      <c r="B8" s="271" t="s">
        <v>2</v>
      </c>
      <c r="C8" s="265" t="s">
        <v>3</v>
      </c>
      <c r="D8" s="265" t="s">
        <v>41</v>
      </c>
      <c r="E8" s="264" t="s">
        <v>202</v>
      </c>
      <c r="F8" s="266" t="s">
        <v>1</v>
      </c>
      <c r="G8" s="144"/>
      <c r="H8" s="264" t="s">
        <v>49</v>
      </c>
      <c r="I8" s="265" t="s">
        <v>129</v>
      </c>
      <c r="J8" s="272" t="s">
        <v>33</v>
      </c>
      <c r="K8" s="289" t="s">
        <v>5</v>
      </c>
      <c r="L8" s="264" t="s">
        <v>85</v>
      </c>
      <c r="M8" s="264" t="s">
        <v>90</v>
      </c>
      <c r="N8" s="290" t="s">
        <v>44</v>
      </c>
      <c r="O8" s="289" t="s">
        <v>5</v>
      </c>
      <c r="P8" s="265" t="s">
        <v>47</v>
      </c>
      <c r="Q8" s="268" t="s">
        <v>11</v>
      </c>
      <c r="R8" s="258" t="s">
        <v>151</v>
      </c>
      <c r="S8" s="264" t="s">
        <v>12</v>
      </c>
      <c r="T8" s="258" t="s">
        <v>8</v>
      </c>
      <c r="U8" s="258"/>
      <c r="V8" s="258"/>
      <c r="W8" s="258"/>
      <c r="X8" s="258"/>
      <c r="Y8" s="258"/>
      <c r="Z8" s="259" t="s">
        <v>132</v>
      </c>
      <c r="AA8" s="259" t="s">
        <v>45</v>
      </c>
      <c r="AB8" s="259" t="s">
        <v>5</v>
      </c>
      <c r="AC8" s="259" t="s">
        <v>46</v>
      </c>
      <c r="AD8" s="259" t="s">
        <v>5</v>
      </c>
      <c r="AE8" s="259" t="s">
        <v>48</v>
      </c>
      <c r="AF8" s="268" t="s">
        <v>29</v>
      </c>
      <c r="AG8" s="258" t="s">
        <v>34</v>
      </c>
      <c r="AH8" s="258" t="s">
        <v>35</v>
      </c>
      <c r="AI8" s="258" t="s">
        <v>36</v>
      </c>
      <c r="AJ8" s="258" t="s">
        <v>37</v>
      </c>
      <c r="AK8" s="258" t="s">
        <v>238</v>
      </c>
      <c r="AL8" s="258"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78.75" x14ac:dyDescent="0.25">
      <c r="A9" s="263"/>
      <c r="B9" s="271"/>
      <c r="C9" s="258"/>
      <c r="D9" s="258"/>
      <c r="E9" s="272"/>
      <c r="F9" s="267"/>
      <c r="G9" s="144" t="s">
        <v>203</v>
      </c>
      <c r="H9" s="265"/>
      <c r="I9" s="258"/>
      <c r="J9" s="265"/>
      <c r="K9" s="217"/>
      <c r="L9" s="265"/>
      <c r="M9" s="265"/>
      <c r="N9" s="217"/>
      <c r="O9" s="217"/>
      <c r="P9" s="258"/>
      <c r="Q9" s="269"/>
      <c r="R9" s="258"/>
      <c r="S9" s="265"/>
      <c r="T9" s="7" t="s">
        <v>13</v>
      </c>
      <c r="U9" s="7" t="s">
        <v>17</v>
      </c>
      <c r="V9" s="7" t="s">
        <v>28</v>
      </c>
      <c r="W9" s="7" t="s">
        <v>18</v>
      </c>
      <c r="X9" s="7" t="s">
        <v>21</v>
      </c>
      <c r="Y9" s="7" t="s">
        <v>24</v>
      </c>
      <c r="Z9" s="259"/>
      <c r="AA9" s="259"/>
      <c r="AB9" s="259"/>
      <c r="AC9" s="259"/>
      <c r="AD9" s="259"/>
      <c r="AE9" s="259"/>
      <c r="AF9" s="269"/>
      <c r="AG9" s="258"/>
      <c r="AH9" s="258"/>
      <c r="AI9" s="258"/>
      <c r="AJ9" s="258"/>
      <c r="AK9" s="258"/>
      <c r="AL9" s="258"/>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57.5" x14ac:dyDescent="0.25">
      <c r="A10" s="227">
        <v>1</v>
      </c>
      <c r="B10" s="273" t="s">
        <v>128</v>
      </c>
      <c r="C10" s="273" t="s">
        <v>237</v>
      </c>
      <c r="D10" s="300" t="s">
        <v>225</v>
      </c>
      <c r="E10" s="161" t="s">
        <v>227</v>
      </c>
      <c r="F10" s="303" t="s">
        <v>226</v>
      </c>
      <c r="G10" s="288" t="s">
        <v>229</v>
      </c>
      <c r="H10" s="294" t="s">
        <v>117</v>
      </c>
      <c r="I10" s="297">
        <v>365</v>
      </c>
      <c r="J10" s="285" t="str">
        <f>IF(I10&lt;=0,"",IF(I10&lt;=2,"Muy Baja",IF(I10&lt;=24,"Baja",IF(I10&lt;=500,"Media",IF(I10&lt;=5000,"Alta","Muy Alta")))))</f>
        <v>Media</v>
      </c>
      <c r="K10" s="279">
        <f>IF(J10="","",IF(J10="Muy Baja",0.2,IF(J10="Baja",0.4,IF(J10="Media",0.6,IF(J10="Alta",0.8,IF(J10="Muy Alta",1,))))))</f>
        <v>0.6</v>
      </c>
      <c r="L10" s="282" t="s">
        <v>146</v>
      </c>
      <c r="M10" s="279" t="str">
        <f ca="1">IF(NOT(ISERROR(MATCH(L10,'Tabla Impacto'!$B$221:$B$223,0))),'Tabla Impacto'!$F$223&amp;"Por favor no seleccionar los criterios de impacto(Afectación Económica o presupuestal y Pérdida Reputacional)",L10)</f>
        <v xml:space="preserve">     El riesgo afecta la imagen de la entidad a nivel nacional, con efecto publicitarios sostenible a nivel país</v>
      </c>
      <c r="N10" s="285" t="str">
        <f ca="1">IF(OR(M10='Tabla Impacto'!$C$11,M10='Tabla Impacto'!$D$11),"Leve",IF(OR(M10='Tabla Impacto'!$C$12,M10='Tabla Impacto'!$D$12),"Menor",IF(OR(M10='Tabla Impacto'!$C$13,M10='Tabla Impacto'!$D$13),"Moderado",IF(OR(M10='Tabla Impacto'!$C$14,M10='Tabla Impacto'!$D$14),"Mayor",IF(OR(M10='Tabla Impacto'!$C$15,M10='Tabla Impacto'!$D$15),"Catastrófico","")))))</f>
        <v>Catastrófico</v>
      </c>
      <c r="O10" s="279">
        <f ca="1">IF(N10="","",IF(N10="Leve",0.2,IF(N10="Menor",0.4,IF(N10="Moderado",0.6,IF(N10="Mayor",0.8,IF(N10="Catastrófico",1,))))))</f>
        <v>1</v>
      </c>
      <c r="P10" s="276"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Extremo</v>
      </c>
      <c r="Q10" s="105">
        <v>1</v>
      </c>
      <c r="R10" s="119" t="s">
        <v>230</v>
      </c>
      <c r="S10" s="107" t="str">
        <f>IF(OR(T10="Preventivo",T10="Detectivo"),"Probabilidad",IF(T10="Correctivo","Impacto",""))</f>
        <v>Probabilidad</v>
      </c>
      <c r="T10" s="120" t="s">
        <v>14</v>
      </c>
      <c r="U10" s="120" t="s">
        <v>9</v>
      </c>
      <c r="V10" s="121" t="str">
        <f>IF(AND(T10="Preventivo",U10="Automático"),"50%",IF(AND(T10="Preventivo",U10="Manual"),"40%",IF(AND(T10="Detectivo",U10="Automático"),"40%",IF(AND(T10="Detectivo",U10="Manual"),"30%",IF(AND(T10="Correctivo",U10="Automático"),"35%",IF(AND(T10="Correctivo",U10="Manual"),"25%",""))))))</f>
        <v>40%</v>
      </c>
      <c r="W10" s="120" t="s">
        <v>19</v>
      </c>
      <c r="X10" s="120" t="s">
        <v>22</v>
      </c>
      <c r="Y10" s="120" t="s">
        <v>113</v>
      </c>
      <c r="Z10" s="110">
        <f>IFERROR(IF(S10="Probabilidad",(K10-(+K10*V10)),IF(S10="Impacto",K10,"")),"")</f>
        <v>0.36</v>
      </c>
      <c r="AA10" s="124" t="str">
        <f>IFERROR(IF(Z10="","",IF(Z10&lt;=0.2,"Muy Baja",IF(Z10&lt;=0.4,"Baja",IF(Z10&lt;=0.6,"Media",IF(Z10&lt;=0.8,"Alta","Muy Alta"))))),"")</f>
        <v>Baja</v>
      </c>
      <c r="AB10" s="125">
        <f>+Z10</f>
        <v>0.36</v>
      </c>
      <c r="AC10" s="124" t="str">
        <f ca="1">IFERROR(IF(AD10="","",IF(AD10&lt;=0.2,"Leve",IF(AD10&lt;=0.4,"Menor",IF(AD10&lt;=0.6,"Moderado",IF(AD10&lt;=0.8,"Mayor","Catastrófico"))))),"")</f>
        <v>Catastrófico</v>
      </c>
      <c r="AD10" s="125">
        <f ca="1">IFERROR(IF(S10="Impacto",(O10-(+O10*V10)),IF(S10="Probabilidad",O10,"")),"")</f>
        <v>1</v>
      </c>
      <c r="AE10" s="126"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Extremo</v>
      </c>
      <c r="AF10" s="127" t="s">
        <v>32</v>
      </c>
      <c r="AG10" s="122" t="s">
        <v>221</v>
      </c>
      <c r="AH10" s="123" t="s">
        <v>215</v>
      </c>
      <c r="AI10" s="157" t="s">
        <v>239</v>
      </c>
      <c r="AJ10" s="156">
        <v>44991</v>
      </c>
      <c r="AK10" s="164" t="s">
        <v>240</v>
      </c>
      <c r="AL10" s="123" t="s">
        <v>40</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153" x14ac:dyDescent="0.3">
      <c r="A11" s="228"/>
      <c r="B11" s="274"/>
      <c r="C11" s="274"/>
      <c r="D11" s="301"/>
      <c r="E11" s="155" t="s">
        <v>218</v>
      </c>
      <c r="F11" s="304"/>
      <c r="G11" s="288"/>
      <c r="H11" s="295"/>
      <c r="I11" s="298"/>
      <c r="J11" s="286"/>
      <c r="K11" s="280"/>
      <c r="L11" s="283"/>
      <c r="M11" s="280">
        <f ca="1">IF(NOT(ISERROR(MATCH(L11,_xlfn.ANCHORARRAY(F22),0))),K24&amp;"Por favor no seleccionar los criterios de impacto",L11)</f>
        <v>0</v>
      </c>
      <c r="N11" s="286"/>
      <c r="O11" s="280"/>
      <c r="P11" s="277"/>
      <c r="Q11" s="105">
        <v>2</v>
      </c>
      <c r="R11" s="119" t="s">
        <v>231</v>
      </c>
      <c r="S11" s="107" t="str">
        <f>IF(OR(T11="Preventivo",T11="Detectivo"),"Probabilidad",IF(T11="Correctivo","Impacto",""))</f>
        <v>Probabilidad</v>
      </c>
      <c r="T11" s="120" t="s">
        <v>14</v>
      </c>
      <c r="U11" s="120" t="s">
        <v>9</v>
      </c>
      <c r="V11" s="121" t="str">
        <f t="shared" ref="V11" si="0">IF(AND(T11="Preventivo",U11="Automático"),"50%",IF(AND(T11="Preventivo",U11="Manual"),"40%",IF(AND(T11="Detectivo",U11="Automático"),"40%",IF(AND(T11="Detectivo",U11="Manual"),"30%",IF(AND(T11="Correctivo",U11="Automático"),"35%",IF(AND(T11="Correctivo",U11="Manual"),"25%",""))))))</f>
        <v>40%</v>
      </c>
      <c r="W11" s="120" t="s">
        <v>19</v>
      </c>
      <c r="X11" s="120" t="s">
        <v>22</v>
      </c>
      <c r="Y11" s="120" t="s">
        <v>113</v>
      </c>
      <c r="Z11" s="110">
        <f>IFERROR(IF(AND(S10="Probabilidad",S11="Probabilidad"),(AB10-(+AB10*V11)),IF(AND(S10="Impacto",S11="Probabilidad"),(AB9-(+AB9*V11)),IF(S11="Impacto",AB10,""))),"")</f>
        <v>0.216</v>
      </c>
      <c r="AA11" s="124" t="str">
        <f t="shared" ref="AA11" si="1">IFERROR(IF(Z11="","",IF(Z11&lt;=0.2,"Muy Baja",IF(Z11&lt;=0.4,"Baja",IF(Z11&lt;=0.6,"Media",IF(Z11&lt;=0.8,"Alta","Muy Alta"))))),"")</f>
        <v>Baja</v>
      </c>
      <c r="AB11" s="125">
        <f t="shared" ref="AB11" si="2">+Z11</f>
        <v>0.216</v>
      </c>
      <c r="AC11" s="124" t="str">
        <f t="shared" ref="AC11" ca="1" si="3">IFERROR(IF(AD11="","",IF(AD11&lt;=0.2,"Leve",IF(AD11&lt;=0.4,"Menor",IF(AD11&lt;=0.6,"Moderado",IF(AD11&lt;=0.8,"Mayor","Catastrófico"))))),"")</f>
        <v>Catastrófico</v>
      </c>
      <c r="AD11" s="125">
        <f ca="1">IFERROR(IF(AND(S10="Impacto",S11="Impacto"),(AD10-(+AD10*V11)),IF(AND(S10="Probabilidad",S11="Impacto"),(AD9-(+AD9*V11)),IF(S11="Probabilidad",AD10,""))),"")</f>
        <v>1</v>
      </c>
      <c r="AE11" s="126" t="str">
        <f t="shared" ref="AE11" ca="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Extremo</v>
      </c>
      <c r="AF11" s="127" t="s">
        <v>130</v>
      </c>
      <c r="AG11" s="115" t="s">
        <v>222</v>
      </c>
      <c r="AH11" s="123" t="s">
        <v>215</v>
      </c>
      <c r="AI11" s="157" t="s">
        <v>239</v>
      </c>
      <c r="AJ11" s="156">
        <v>44991</v>
      </c>
      <c r="AK11" s="164" t="s">
        <v>241</v>
      </c>
      <c r="AL11" s="116" t="s">
        <v>40</v>
      </c>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132" x14ac:dyDescent="0.3">
      <c r="A12" s="228"/>
      <c r="B12" s="274"/>
      <c r="C12" s="274"/>
      <c r="D12" s="301"/>
      <c r="E12" s="145" t="s">
        <v>219</v>
      </c>
      <c r="F12" s="304"/>
      <c r="G12" s="288"/>
      <c r="H12" s="295"/>
      <c r="I12" s="298"/>
      <c r="J12" s="286"/>
      <c r="K12" s="280"/>
      <c r="L12" s="283"/>
      <c r="M12" s="280">
        <f ca="1">IF(NOT(ISERROR(MATCH(L12,_xlfn.ANCHORARRAY(F23),0))),K25&amp;"Por favor no seleccionar los criterios de impacto",L12)</f>
        <v>0</v>
      </c>
      <c r="N12" s="286"/>
      <c r="O12" s="280"/>
      <c r="P12" s="277"/>
      <c r="Q12" s="105">
        <v>3</v>
      </c>
      <c r="R12" s="119" t="s">
        <v>224</v>
      </c>
      <c r="S12" s="107" t="str">
        <f t="shared" ref="S12:S14" si="5">IF(OR(T12="Preventivo",T12="Detectivo"),"Probabilidad",IF(T12="Correctivo","Impacto",""))</f>
        <v>Impacto</v>
      </c>
      <c r="T12" s="120" t="s">
        <v>16</v>
      </c>
      <c r="U12" s="120" t="s">
        <v>9</v>
      </c>
      <c r="V12" s="121" t="str">
        <f t="shared" ref="V12:V14" si="6">IF(AND(T12="Preventivo",U12="Automático"),"50%",IF(AND(T12="Preventivo",U12="Manual"),"40%",IF(AND(T12="Detectivo",U12="Automático"),"40%",IF(AND(T12="Detectivo",U12="Manual"),"30%",IF(AND(T12="Correctivo",U12="Automático"),"35%",IF(AND(T12="Correctivo",U12="Manual"),"25%",""))))))</f>
        <v>25%</v>
      </c>
      <c r="W12" s="120" t="s">
        <v>20</v>
      </c>
      <c r="X12" s="120" t="s">
        <v>22</v>
      </c>
      <c r="Y12" s="120" t="s">
        <v>113</v>
      </c>
      <c r="Z12" s="110">
        <f t="shared" ref="Z12:Z14" si="7">IFERROR(IF(AND(S11="Probabilidad",S12="Probabilidad"),(AB11-(+AB11*V12)),IF(AND(S11="Impacto",S12="Probabilidad"),(AB10-(+AB10*V12)),IF(S12="Impacto",AB11,""))),"")</f>
        <v>0.216</v>
      </c>
      <c r="AA12" s="124" t="str">
        <f t="shared" ref="AA12:AA14" si="8">IFERROR(IF(Z12="","",IF(Z12&lt;=0.2,"Muy Baja",IF(Z12&lt;=0.4,"Baja",IF(Z12&lt;=0.6,"Media",IF(Z12&lt;=0.8,"Alta","Muy Alta"))))),"")</f>
        <v>Baja</v>
      </c>
      <c r="AB12" s="125">
        <f t="shared" ref="AB12:AB14" si="9">+Z12</f>
        <v>0.216</v>
      </c>
      <c r="AC12" s="124" t="str">
        <f t="shared" ref="AC12:AC14" ca="1" si="10">IFERROR(IF(AD12="","",IF(AD12&lt;=0.2,"Leve",IF(AD12&lt;=0.4,"Menor",IF(AD12&lt;=0.6,"Moderado",IF(AD12&lt;=0.8,"Mayor","Catastrófico"))))),"")</f>
        <v>Mayor</v>
      </c>
      <c r="AD12" s="125">
        <f t="shared" ref="AD12:AD14" ca="1" si="11">IFERROR(IF(AND(S11="Impacto",S12="Impacto"),(AD11-(+AD11*V12)),IF(AND(S11="Probabilidad",S12="Impacto"),(AD10-(+AD10*V12)),IF(S12="Probabilidad",AD11,""))),"")</f>
        <v>0.75</v>
      </c>
      <c r="AE12" s="126" t="str">
        <f t="shared" ref="AE12:AE14" ca="1" si="12">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Alto</v>
      </c>
      <c r="AF12" s="127" t="s">
        <v>130</v>
      </c>
      <c r="AG12" s="159" t="s">
        <v>234</v>
      </c>
      <c r="AH12" s="116" t="s">
        <v>215</v>
      </c>
      <c r="AI12" s="157" t="s">
        <v>239</v>
      </c>
      <c r="AJ12" s="156">
        <v>44991</v>
      </c>
      <c r="AK12" s="164" t="s">
        <v>242</v>
      </c>
      <c r="AL12" s="116" t="s">
        <v>40</v>
      </c>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132" x14ac:dyDescent="0.3">
      <c r="A13" s="228"/>
      <c r="B13" s="274"/>
      <c r="C13" s="274"/>
      <c r="D13" s="301"/>
      <c r="E13" s="145" t="s">
        <v>220</v>
      </c>
      <c r="F13" s="304"/>
      <c r="G13" s="288"/>
      <c r="H13" s="295"/>
      <c r="I13" s="298"/>
      <c r="J13" s="286"/>
      <c r="K13" s="280"/>
      <c r="L13" s="283"/>
      <c r="M13" s="280">
        <f ca="1">IF(NOT(ISERROR(MATCH(L13,_xlfn.ANCHORARRAY(F24),0))),K26&amp;"Por favor no seleccionar los criterios de impacto",L13)</f>
        <v>0</v>
      </c>
      <c r="N13" s="286"/>
      <c r="O13" s="280"/>
      <c r="P13" s="277"/>
      <c r="Q13" s="105">
        <v>4</v>
      </c>
      <c r="R13" s="162" t="s">
        <v>232</v>
      </c>
      <c r="S13" s="107" t="str">
        <f t="shared" si="5"/>
        <v>Impacto</v>
      </c>
      <c r="T13" s="120" t="s">
        <v>16</v>
      </c>
      <c r="U13" s="120" t="s">
        <v>9</v>
      </c>
      <c r="V13" s="121" t="str">
        <f t="shared" si="6"/>
        <v>25%</v>
      </c>
      <c r="W13" s="120" t="s">
        <v>20</v>
      </c>
      <c r="X13" s="120" t="s">
        <v>22</v>
      </c>
      <c r="Y13" s="120" t="s">
        <v>113</v>
      </c>
      <c r="Z13" s="110">
        <f t="shared" si="7"/>
        <v>0.216</v>
      </c>
      <c r="AA13" s="124" t="str">
        <f t="shared" si="8"/>
        <v>Baja</v>
      </c>
      <c r="AB13" s="125">
        <f t="shared" si="9"/>
        <v>0.216</v>
      </c>
      <c r="AC13" s="124" t="str">
        <f t="shared" ca="1" si="10"/>
        <v>Moderado</v>
      </c>
      <c r="AD13" s="125">
        <f t="shared" ca="1" si="11"/>
        <v>0.5625</v>
      </c>
      <c r="AE13" s="126" t="str">
        <f t="shared" ca="1" si="12"/>
        <v>Moderado</v>
      </c>
      <c r="AF13" s="127" t="s">
        <v>131</v>
      </c>
      <c r="AG13" s="159" t="s">
        <v>223</v>
      </c>
      <c r="AH13" s="116" t="s">
        <v>215</v>
      </c>
      <c r="AI13" s="157" t="s">
        <v>239</v>
      </c>
      <c r="AJ13" s="156">
        <v>44991</v>
      </c>
      <c r="AK13" s="164" t="s">
        <v>243</v>
      </c>
      <c r="AL13" s="116" t="s">
        <v>40</v>
      </c>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181.5" x14ac:dyDescent="0.3">
      <c r="A14" s="228"/>
      <c r="B14" s="274"/>
      <c r="C14" s="274"/>
      <c r="D14" s="301"/>
      <c r="E14" s="145" t="s">
        <v>228</v>
      </c>
      <c r="F14" s="304"/>
      <c r="G14" s="288"/>
      <c r="H14" s="295"/>
      <c r="I14" s="298"/>
      <c r="J14" s="286"/>
      <c r="K14" s="280"/>
      <c r="L14" s="283"/>
      <c r="M14" s="280">
        <f ca="1">IF(NOT(ISERROR(MATCH(L14,_xlfn.ANCHORARRAY(F25),0))),K27&amp;"Por favor no seleccionar los criterios de impacto",L14)</f>
        <v>0</v>
      </c>
      <c r="N14" s="286"/>
      <c r="O14" s="280"/>
      <c r="P14" s="277"/>
      <c r="Q14" s="105">
        <v>5</v>
      </c>
      <c r="R14" s="162" t="s">
        <v>233</v>
      </c>
      <c r="S14" s="107" t="str">
        <f t="shared" si="5"/>
        <v>Probabilidad</v>
      </c>
      <c r="T14" s="120" t="s">
        <v>15</v>
      </c>
      <c r="U14" s="120" t="s">
        <v>9</v>
      </c>
      <c r="V14" s="121" t="str">
        <f t="shared" si="6"/>
        <v>30%</v>
      </c>
      <c r="W14" s="120" t="s">
        <v>20</v>
      </c>
      <c r="X14" s="120" t="s">
        <v>22</v>
      </c>
      <c r="Y14" s="120" t="s">
        <v>113</v>
      </c>
      <c r="Z14" s="110">
        <f t="shared" si="7"/>
        <v>0.1512</v>
      </c>
      <c r="AA14" s="124" t="str">
        <f t="shared" si="8"/>
        <v>Muy Baja</v>
      </c>
      <c r="AB14" s="125">
        <f t="shared" si="9"/>
        <v>0.1512</v>
      </c>
      <c r="AC14" s="124" t="str">
        <f t="shared" ca="1" si="10"/>
        <v>Moderado</v>
      </c>
      <c r="AD14" s="125">
        <f t="shared" ca="1" si="11"/>
        <v>0.5625</v>
      </c>
      <c r="AE14" s="126" t="str">
        <f t="shared" ca="1" si="12"/>
        <v>Moderado</v>
      </c>
      <c r="AF14" s="127" t="s">
        <v>130</v>
      </c>
      <c r="AG14" s="159" t="s">
        <v>235</v>
      </c>
      <c r="AH14" s="116" t="s">
        <v>215</v>
      </c>
      <c r="AI14" s="157" t="s">
        <v>239</v>
      </c>
      <c r="AJ14" s="156">
        <v>44991</v>
      </c>
      <c r="AK14" s="164" t="s">
        <v>244</v>
      </c>
      <c r="AL14" s="116" t="s">
        <v>40</v>
      </c>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x14ac:dyDescent="0.3">
      <c r="A15" s="229"/>
      <c r="B15" s="275"/>
      <c r="C15" s="275"/>
      <c r="D15" s="302"/>
      <c r="E15" s="145"/>
      <c r="F15" s="305"/>
      <c r="G15" s="288"/>
      <c r="H15" s="296"/>
      <c r="I15" s="299"/>
      <c r="J15" s="287"/>
      <c r="K15" s="281"/>
      <c r="L15" s="284"/>
      <c r="M15" s="281">
        <f ca="1">IF(NOT(ISERROR(MATCH(L15,_xlfn.ANCHORARRAY(F26),0))),K28&amp;"Por favor no seleccionar los criterios de impacto",L15)</f>
        <v>0</v>
      </c>
      <c r="N15" s="287"/>
      <c r="O15" s="281"/>
      <c r="P15" s="278"/>
      <c r="Q15" s="105"/>
      <c r="R15" s="119"/>
      <c r="S15" s="107" t="str">
        <f t="shared" ref="S15" si="13">IF(OR(T15="Preventivo",T15="Detectivo"),"Probabilidad",IF(T15="Correctivo","Impacto",""))</f>
        <v/>
      </c>
      <c r="T15" s="120"/>
      <c r="U15" s="120"/>
      <c r="V15" s="121" t="str">
        <f t="shared" ref="V15" si="14">IF(AND(T15="Preventivo",U15="Automático"),"50%",IF(AND(T15="Preventivo",U15="Manual"),"40%",IF(AND(T15="Detectivo",U15="Automático"),"40%",IF(AND(T15="Detectivo",U15="Manual"),"30%",IF(AND(T15="Correctivo",U15="Automático"),"35%",IF(AND(T15="Correctivo",U15="Manual"),"25%",""))))))</f>
        <v/>
      </c>
      <c r="W15" s="120"/>
      <c r="X15" s="120"/>
      <c r="Y15" s="120"/>
      <c r="Z15" s="110" t="str">
        <f t="shared" ref="Z15" si="15">IFERROR(IF(AND(S14="Probabilidad",S15="Probabilidad"),(AB14-(+AB14*V15)),IF(AND(S14="Impacto",S15="Probabilidad"),(AB13-(+AB13*V15)),IF(S15="Impacto",AB14,""))),"")</f>
        <v/>
      </c>
      <c r="AA15" s="124" t="str">
        <f t="shared" ref="AA15" si="16">IFERROR(IF(Z15="","",IF(Z15&lt;=0.2,"Muy Baja",IF(Z15&lt;=0.4,"Baja",IF(Z15&lt;=0.6,"Media",IF(Z15&lt;=0.8,"Alta","Muy Alta"))))),"")</f>
        <v/>
      </c>
      <c r="AB15" s="125" t="str">
        <f t="shared" ref="AB15" si="17">+Z15</f>
        <v/>
      </c>
      <c r="AC15" s="124" t="str">
        <f t="shared" ref="AC15" si="18">IFERROR(IF(AD15="","",IF(AD15&lt;=0.2,"Leve",IF(AD15&lt;=0.4,"Menor",IF(AD15&lt;=0.6,"Moderado",IF(AD15&lt;=0.8,"Mayor","Catastrófico"))))),"")</f>
        <v/>
      </c>
      <c r="AD15" s="125" t="str">
        <f t="shared" ref="AD15" si="19">IFERROR(IF(AND(S14="Impacto",S15="Impacto"),(AD14-(+AD14*V15)),IF(AND(S14="Probabilidad",S15="Impacto"),(AD13-(+AD13*V15)),IF(S15="Probabilidad",AD14,""))),"")</f>
        <v/>
      </c>
      <c r="AE15" s="126" t="str">
        <f t="shared" ref="AE15" si="20">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
      </c>
      <c r="AF15" s="127"/>
      <c r="AG15" s="159"/>
      <c r="AH15" s="116"/>
      <c r="AI15" s="157"/>
      <c r="AJ15" s="156"/>
      <c r="AK15" s="163"/>
      <c r="AL15" s="116"/>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x14ac:dyDescent="0.3">
      <c r="A16" s="227"/>
      <c r="B16" s="273"/>
      <c r="C16" s="230"/>
      <c r="D16" s="245"/>
      <c r="E16" s="158"/>
      <c r="F16" s="248"/>
      <c r="G16" s="291"/>
      <c r="H16" s="249"/>
      <c r="I16" s="236"/>
      <c r="J16" s="239"/>
      <c r="K16" s="221"/>
      <c r="L16" s="242"/>
      <c r="M16" s="221"/>
      <c r="N16" s="239"/>
      <c r="O16" s="221"/>
      <c r="P16" s="224"/>
      <c r="Q16" s="105"/>
      <c r="R16" s="119"/>
      <c r="S16" s="107"/>
      <c r="T16" s="120"/>
      <c r="U16" s="120"/>
      <c r="V16" s="121"/>
      <c r="W16" s="120"/>
      <c r="X16" s="120"/>
      <c r="Y16" s="120"/>
      <c r="Z16" s="110"/>
      <c r="AA16" s="124"/>
      <c r="AB16" s="125"/>
      <c r="AC16" s="124"/>
      <c r="AD16" s="125"/>
      <c r="AE16" s="126"/>
      <c r="AF16" s="114"/>
      <c r="AG16" s="159"/>
      <c r="AH16" s="116"/>
      <c r="AI16" s="157"/>
      <c r="AJ16" s="156"/>
      <c r="AK16" s="163"/>
      <c r="AL16" s="116"/>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x14ac:dyDescent="0.3">
      <c r="A17" s="228"/>
      <c r="B17" s="274"/>
      <c r="C17" s="231"/>
      <c r="D17" s="246"/>
      <c r="E17" s="158"/>
      <c r="F17" s="248"/>
      <c r="G17" s="292"/>
      <c r="H17" s="250"/>
      <c r="I17" s="237"/>
      <c r="J17" s="240"/>
      <c r="K17" s="222"/>
      <c r="L17" s="243"/>
      <c r="M17" s="222"/>
      <c r="N17" s="240"/>
      <c r="O17" s="222"/>
      <c r="P17" s="225"/>
      <c r="Q17" s="105"/>
      <c r="R17" s="162"/>
      <c r="S17" s="107"/>
      <c r="T17" s="120"/>
      <c r="U17" s="120"/>
      <c r="V17" s="121"/>
      <c r="W17" s="120"/>
      <c r="X17" s="120"/>
      <c r="Y17" s="120"/>
      <c r="Z17" s="110"/>
      <c r="AA17" s="124"/>
      <c r="AB17" s="125"/>
      <c r="AC17" s="124"/>
      <c r="AD17" s="125"/>
      <c r="AE17" s="126"/>
      <c r="AF17" s="114"/>
      <c r="AG17" s="159"/>
      <c r="AH17" s="116"/>
      <c r="AI17" s="157"/>
      <c r="AJ17" s="156"/>
      <c r="AK17" s="163"/>
      <c r="AL17" s="116"/>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x14ac:dyDescent="0.3">
      <c r="A18" s="228"/>
      <c r="B18" s="274"/>
      <c r="C18" s="231"/>
      <c r="D18" s="246"/>
      <c r="E18" s="158"/>
      <c r="F18" s="248"/>
      <c r="G18" s="292"/>
      <c r="H18" s="250"/>
      <c r="I18" s="237"/>
      <c r="J18" s="240"/>
      <c r="K18" s="222"/>
      <c r="L18" s="243"/>
      <c r="M18" s="222"/>
      <c r="N18" s="240"/>
      <c r="O18" s="222"/>
      <c r="P18" s="225"/>
      <c r="Q18" s="105"/>
      <c r="R18" s="118"/>
      <c r="S18" s="107"/>
      <c r="T18" s="120"/>
      <c r="U18" s="120"/>
      <c r="V18" s="121"/>
      <c r="W18" s="120"/>
      <c r="X18" s="120"/>
      <c r="Y18" s="120"/>
      <c r="Z18" s="110"/>
      <c r="AA18" s="124"/>
      <c r="AB18" s="125"/>
      <c r="AC18" s="124"/>
      <c r="AD18" s="125"/>
      <c r="AE18" s="126"/>
      <c r="AF18" s="114"/>
      <c r="AG18" s="159"/>
      <c r="AH18" s="115"/>
      <c r="AI18" s="157"/>
      <c r="AJ18" s="117"/>
      <c r="AK18" s="119"/>
      <c r="AL18" s="11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x14ac:dyDescent="0.3">
      <c r="A19" s="228"/>
      <c r="B19" s="274"/>
      <c r="C19" s="231"/>
      <c r="D19" s="246"/>
      <c r="E19" s="146"/>
      <c r="F19" s="248"/>
      <c r="G19" s="292"/>
      <c r="H19" s="250"/>
      <c r="I19" s="237"/>
      <c r="J19" s="240"/>
      <c r="K19" s="222"/>
      <c r="L19" s="243"/>
      <c r="M19" s="222"/>
      <c r="N19" s="240"/>
      <c r="O19" s="222"/>
      <c r="P19" s="225"/>
      <c r="Q19" s="105"/>
      <c r="R19" s="160"/>
      <c r="S19" s="107"/>
      <c r="T19" s="120"/>
      <c r="U19" s="120"/>
      <c r="V19" s="121"/>
      <c r="W19" s="120"/>
      <c r="X19" s="120"/>
      <c r="Y19" s="120"/>
      <c r="Z19" s="110"/>
      <c r="AA19" s="124"/>
      <c r="AB19" s="125"/>
      <c r="AC19" s="124"/>
      <c r="AD19" s="125"/>
      <c r="AE19" s="126"/>
      <c r="AF19" s="114"/>
      <c r="AG19" s="115"/>
      <c r="AH19" s="116"/>
      <c r="AI19" s="157"/>
      <c r="AJ19" s="117"/>
      <c r="AK19" s="119"/>
      <c r="AL19" s="11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x14ac:dyDescent="0.3">
      <c r="A20" s="228"/>
      <c r="B20" s="274"/>
      <c r="C20" s="231"/>
      <c r="D20" s="246"/>
      <c r="E20" s="146"/>
      <c r="F20" s="248"/>
      <c r="G20" s="292"/>
      <c r="H20" s="250"/>
      <c r="I20" s="237"/>
      <c r="J20" s="240"/>
      <c r="K20" s="222"/>
      <c r="L20" s="243"/>
      <c r="M20" s="222"/>
      <c r="N20" s="240"/>
      <c r="O20" s="222"/>
      <c r="P20" s="225"/>
      <c r="Q20" s="105"/>
      <c r="R20" s="106"/>
      <c r="S20" s="107"/>
      <c r="T20" s="120"/>
      <c r="U20" s="120"/>
      <c r="V20" s="121"/>
      <c r="W20" s="120"/>
      <c r="X20" s="120"/>
      <c r="Y20" s="120"/>
      <c r="Z20" s="110"/>
      <c r="AA20" s="124"/>
      <c r="AB20" s="125"/>
      <c r="AC20" s="124"/>
      <c r="AD20" s="125"/>
      <c r="AE20" s="126"/>
      <c r="AF20" s="114"/>
      <c r="AG20" s="115"/>
      <c r="AH20" s="116"/>
      <c r="AI20" s="117"/>
      <c r="AJ20" s="117"/>
      <c r="AK20" s="119"/>
      <c r="AL20" s="11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x14ac:dyDescent="0.3">
      <c r="A21" s="229"/>
      <c r="B21" s="275"/>
      <c r="C21" s="232"/>
      <c r="D21" s="247"/>
      <c r="E21" s="146"/>
      <c r="F21" s="248"/>
      <c r="G21" s="293"/>
      <c r="H21" s="251"/>
      <c r="I21" s="238"/>
      <c r="J21" s="241"/>
      <c r="K21" s="223"/>
      <c r="L21" s="244"/>
      <c r="M21" s="223"/>
      <c r="N21" s="241"/>
      <c r="O21" s="223"/>
      <c r="P21" s="226"/>
      <c r="Q21" s="105"/>
      <c r="R21" s="106"/>
      <c r="S21" s="107"/>
      <c r="T21" s="120"/>
      <c r="U21" s="120"/>
      <c r="V21" s="121"/>
      <c r="W21" s="120"/>
      <c r="X21" s="120"/>
      <c r="Y21" s="120"/>
      <c r="Z21" s="110"/>
      <c r="AA21" s="124"/>
      <c r="AB21" s="125"/>
      <c r="AC21" s="124"/>
      <c r="AD21" s="125"/>
      <c r="AE21" s="126"/>
      <c r="AF21" s="114"/>
      <c r="AG21" s="115"/>
      <c r="AH21" s="116"/>
      <c r="AI21" s="117"/>
      <c r="AJ21" s="117"/>
      <c r="AK21" s="119"/>
      <c r="AL21" s="11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x14ac:dyDescent="0.3">
      <c r="A22" s="227"/>
      <c r="B22" s="273"/>
      <c r="C22" s="252"/>
      <c r="D22" s="252"/>
      <c r="E22" s="146"/>
      <c r="F22" s="248"/>
      <c r="G22" s="255"/>
      <c r="H22" s="249"/>
      <c r="I22" s="236"/>
      <c r="J22" s="239"/>
      <c r="K22" s="221"/>
      <c r="L22" s="242"/>
      <c r="M22" s="221"/>
      <c r="N22" s="239"/>
      <c r="O22" s="221"/>
      <c r="P22" s="224"/>
      <c r="Q22" s="105"/>
      <c r="R22" s="162"/>
      <c r="S22" s="107"/>
      <c r="T22" s="108"/>
      <c r="U22" s="108"/>
      <c r="V22" s="109"/>
      <c r="W22" s="108"/>
      <c r="X22" s="108"/>
      <c r="Y22" s="108"/>
      <c r="Z22" s="110"/>
      <c r="AA22" s="111"/>
      <c r="AB22" s="112"/>
      <c r="AC22" s="111"/>
      <c r="AD22" s="112"/>
      <c r="AE22" s="113"/>
      <c r="AF22" s="114"/>
      <c r="AG22" s="159"/>
      <c r="AH22" s="116"/>
      <c r="AI22" s="157"/>
      <c r="AJ22" s="156"/>
      <c r="AK22" s="163"/>
      <c r="AL22" s="11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x14ac:dyDescent="0.3">
      <c r="A23" s="228"/>
      <c r="B23" s="274"/>
      <c r="C23" s="253"/>
      <c r="D23" s="253"/>
      <c r="E23" s="146"/>
      <c r="F23" s="248"/>
      <c r="G23" s="256"/>
      <c r="H23" s="250"/>
      <c r="I23" s="237"/>
      <c r="J23" s="240"/>
      <c r="K23" s="222"/>
      <c r="L23" s="243"/>
      <c r="M23" s="222"/>
      <c r="N23" s="240"/>
      <c r="O23" s="222"/>
      <c r="P23" s="225"/>
      <c r="Q23" s="105"/>
      <c r="R23" s="119"/>
      <c r="S23" s="107"/>
      <c r="T23" s="108"/>
      <c r="U23" s="108"/>
      <c r="V23" s="109"/>
      <c r="W23" s="108"/>
      <c r="X23" s="108"/>
      <c r="Y23" s="108"/>
      <c r="Z23" s="110"/>
      <c r="AA23" s="111"/>
      <c r="AB23" s="112"/>
      <c r="AC23" s="111"/>
      <c r="AD23" s="112"/>
      <c r="AE23" s="113"/>
      <c r="AF23" s="114"/>
      <c r="AG23" s="159"/>
      <c r="AH23" s="116"/>
      <c r="AI23" s="157"/>
      <c r="AJ23" s="156"/>
      <c r="AK23" s="163"/>
      <c r="AL23" s="11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x14ac:dyDescent="0.3">
      <c r="A24" s="228"/>
      <c r="B24" s="274"/>
      <c r="C24" s="253"/>
      <c r="D24" s="253"/>
      <c r="E24" s="146"/>
      <c r="F24" s="248"/>
      <c r="G24" s="256"/>
      <c r="H24" s="250"/>
      <c r="I24" s="237"/>
      <c r="J24" s="240"/>
      <c r="K24" s="222"/>
      <c r="L24" s="243"/>
      <c r="M24" s="222"/>
      <c r="N24" s="240"/>
      <c r="O24" s="222"/>
      <c r="P24" s="225"/>
      <c r="Q24" s="105"/>
      <c r="R24" s="118"/>
      <c r="S24" s="107"/>
      <c r="T24" s="108"/>
      <c r="U24" s="108"/>
      <c r="V24" s="109"/>
      <c r="W24" s="108"/>
      <c r="X24" s="108"/>
      <c r="Y24" s="108"/>
      <c r="Z24" s="110"/>
      <c r="AA24" s="111"/>
      <c r="AB24" s="112"/>
      <c r="AC24" s="111"/>
      <c r="AD24" s="112"/>
      <c r="AE24" s="113"/>
      <c r="AF24" s="114"/>
      <c r="AG24" s="115"/>
      <c r="AH24" s="116"/>
      <c r="AI24" s="117"/>
      <c r="AJ24" s="117"/>
      <c r="AK24" s="115"/>
      <c r="AL24" s="11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x14ac:dyDescent="0.3">
      <c r="A25" s="228"/>
      <c r="B25" s="274"/>
      <c r="C25" s="253"/>
      <c r="D25" s="253"/>
      <c r="E25" s="146"/>
      <c r="F25" s="248"/>
      <c r="G25" s="256"/>
      <c r="H25" s="250"/>
      <c r="I25" s="237"/>
      <c r="J25" s="240"/>
      <c r="K25" s="222"/>
      <c r="L25" s="243"/>
      <c r="M25" s="222"/>
      <c r="N25" s="240"/>
      <c r="O25" s="222"/>
      <c r="P25" s="225"/>
      <c r="Q25" s="105"/>
      <c r="R25" s="106"/>
      <c r="S25" s="107"/>
      <c r="T25" s="108"/>
      <c r="U25" s="108"/>
      <c r="V25" s="109"/>
      <c r="W25" s="108"/>
      <c r="X25" s="108"/>
      <c r="Y25" s="108"/>
      <c r="Z25" s="110"/>
      <c r="AA25" s="111"/>
      <c r="AB25" s="112"/>
      <c r="AC25" s="111"/>
      <c r="AD25" s="112"/>
      <c r="AE25" s="113"/>
      <c r="AF25" s="114"/>
      <c r="AG25" s="115"/>
      <c r="AH25" s="116"/>
      <c r="AI25" s="117"/>
      <c r="AJ25" s="117"/>
      <c r="AK25" s="115"/>
      <c r="AL25" s="11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x14ac:dyDescent="0.3">
      <c r="A26" s="228"/>
      <c r="B26" s="274"/>
      <c r="C26" s="253"/>
      <c r="D26" s="253"/>
      <c r="E26" s="146"/>
      <c r="F26" s="248"/>
      <c r="G26" s="256"/>
      <c r="H26" s="250"/>
      <c r="I26" s="237"/>
      <c r="J26" s="240"/>
      <c r="K26" s="222"/>
      <c r="L26" s="243"/>
      <c r="M26" s="222"/>
      <c r="N26" s="240"/>
      <c r="O26" s="222"/>
      <c r="P26" s="225"/>
      <c r="Q26" s="105"/>
      <c r="R26" s="106"/>
      <c r="S26" s="107"/>
      <c r="T26" s="108"/>
      <c r="U26" s="108"/>
      <c r="V26" s="109"/>
      <c r="W26" s="108"/>
      <c r="X26" s="108"/>
      <c r="Y26" s="108"/>
      <c r="Z26" s="110"/>
      <c r="AA26" s="111"/>
      <c r="AB26" s="112"/>
      <c r="AC26" s="111"/>
      <c r="AD26" s="112"/>
      <c r="AE26" s="113"/>
      <c r="AF26" s="114"/>
      <c r="AG26" s="115"/>
      <c r="AH26" s="116"/>
      <c r="AI26" s="117"/>
      <c r="AJ26" s="117"/>
      <c r="AK26" s="115"/>
      <c r="AL26" s="11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x14ac:dyDescent="0.3">
      <c r="A27" s="229"/>
      <c r="B27" s="275"/>
      <c r="C27" s="254"/>
      <c r="D27" s="254"/>
      <c r="E27" s="146"/>
      <c r="F27" s="248"/>
      <c r="G27" s="257"/>
      <c r="H27" s="251"/>
      <c r="I27" s="238"/>
      <c r="J27" s="241"/>
      <c r="K27" s="223"/>
      <c r="L27" s="244"/>
      <c r="M27" s="223"/>
      <c r="N27" s="241"/>
      <c r="O27" s="223"/>
      <c r="P27" s="226"/>
      <c r="Q27" s="105"/>
      <c r="R27" s="106"/>
      <c r="S27" s="107"/>
      <c r="T27" s="108"/>
      <c r="U27" s="108"/>
      <c r="V27" s="109"/>
      <c r="W27" s="108"/>
      <c r="X27" s="108"/>
      <c r="Y27" s="108"/>
      <c r="Z27" s="110"/>
      <c r="AA27" s="111"/>
      <c r="AB27" s="112"/>
      <c r="AC27" s="111"/>
      <c r="AD27" s="112"/>
      <c r="AE27" s="113"/>
      <c r="AF27" s="114"/>
      <c r="AG27" s="115"/>
      <c r="AH27" s="116"/>
      <c r="AI27" s="117"/>
      <c r="AJ27" s="117"/>
      <c r="AK27" s="115"/>
      <c r="AL27" s="11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x14ac:dyDescent="0.3">
      <c r="A28" s="227">
        <v>4</v>
      </c>
      <c r="B28" s="230"/>
      <c r="C28" s="230"/>
      <c r="D28" s="245"/>
      <c r="E28" s="146"/>
      <c r="F28" s="248"/>
      <c r="G28" s="147"/>
      <c r="H28" s="249"/>
      <c r="I28" s="236"/>
      <c r="J28" s="239" t="str">
        <f t="shared" ref="J28" si="21">IF(I28&lt;=0,"",IF(I28&lt;=2,"Muy Baja",IF(I28&lt;=24,"Baja",IF(I28&lt;=500,"Media",IF(I28&lt;=5000,"Alta","Muy Alta")))))</f>
        <v/>
      </c>
      <c r="K28" s="221" t="str">
        <f t="shared" ref="K28" si="22">IF(J28="","",IF(J28="Muy Baja",0.2,IF(J28="Baja",0.4,IF(J28="Media",0.6,IF(J28="Alta",0.8,IF(J28="Muy Alta",1,))))))</f>
        <v/>
      </c>
      <c r="L28" s="242"/>
      <c r="M28" s="221">
        <f ca="1">IF(NOT(ISERROR(MATCH(L28,'Tabla Impacto'!$B$221:$B$223,0))),'Tabla Impacto'!$F$223&amp;"Por favor no seleccionar los criterios de impacto(Afectación Económica o presupuestal y Pérdida Reputacional)",L28)</f>
        <v>0</v>
      </c>
      <c r="N28" s="239" t="str">
        <f ca="1">IF(OR(M28='Tabla Impacto'!$C$11,M28='Tabla Impacto'!$D$11),"Leve",IF(OR(M28='Tabla Impacto'!$C$12,M28='Tabla Impacto'!$D$12),"Menor",IF(OR(M28='Tabla Impacto'!$C$13,M28='Tabla Impacto'!$D$13),"Moderado",IF(OR(M28='Tabla Impacto'!$C$14,M28='Tabla Impacto'!$D$14),"Mayor",IF(OR(M28='Tabla Impacto'!$C$15,M28='Tabla Impacto'!$D$15),"Catastrófico","")))))</f>
        <v/>
      </c>
      <c r="O28" s="221" t="str">
        <f t="shared" ref="O28" ca="1" si="23">IF(N28="","",IF(N28="Leve",0.2,IF(N28="Menor",0.4,IF(N28="Moderado",0.6,IF(N28="Mayor",0.8,IF(N28="Catastrófico",1,))))))</f>
        <v/>
      </c>
      <c r="P28" s="224" t="str">
        <f t="shared" ref="P28" ca="1" si="24">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5">
        <v>1</v>
      </c>
      <c r="R28" s="106"/>
      <c r="S28" s="107" t="str">
        <f>IF(OR(T28="Preventivo",T28="Detectivo"),"Probabilidad",IF(T28="Correctivo","Impacto",""))</f>
        <v/>
      </c>
      <c r="T28" s="108"/>
      <c r="U28" s="108"/>
      <c r="V28" s="109" t="str">
        <f>IF(AND(T28="Preventivo",U28="Automático"),"50%",IF(AND(T28="Preventivo",U28="Manual"),"40%",IF(AND(T28="Detectivo",U28="Automático"),"40%",IF(AND(T28="Detectivo",U28="Manual"),"30%",IF(AND(T28="Correctivo",U28="Automático"),"35%",IF(AND(T28="Correctivo",U28="Manual"),"25%",""))))))</f>
        <v/>
      </c>
      <c r="W28" s="108"/>
      <c r="X28" s="108"/>
      <c r="Y28" s="108"/>
      <c r="Z28" s="110" t="str">
        <f>IFERROR(IF(S28="Probabilidad",(K28-(+K28*V28)),IF(S28="Impacto",K28,"")),"")</f>
        <v/>
      </c>
      <c r="AA28" s="111" t="str">
        <f>IFERROR(IF(Z28="","",IF(Z28&lt;=0.2,"Muy Baja",IF(Z28&lt;=0.4,"Baja",IF(Z28&lt;=0.6,"Media",IF(Z28&lt;=0.8,"Alta","Muy Alta"))))),"")</f>
        <v/>
      </c>
      <c r="AB28" s="112" t="str">
        <f>+Z28</f>
        <v/>
      </c>
      <c r="AC28" s="111" t="str">
        <f>IFERROR(IF(AD28="","",IF(AD28&lt;=0.2,"Leve",IF(AD28&lt;=0.4,"Menor",IF(AD28&lt;=0.6,"Moderado",IF(AD28&lt;=0.8,"Mayor","Catastrófico"))))),"")</f>
        <v/>
      </c>
      <c r="AD28" s="112" t="str">
        <f>IFERROR(IF(S28="Impacto",(O28-(+O28*V28)),IF(S28="Probabilidad",O28,"")),"")</f>
        <v/>
      </c>
      <c r="AE28" s="113"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14"/>
      <c r="AG28" s="115"/>
      <c r="AH28" s="116"/>
      <c r="AI28" s="117"/>
      <c r="AJ28" s="117"/>
      <c r="AK28" s="115"/>
      <c r="AL28" s="11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x14ac:dyDescent="0.3">
      <c r="A29" s="228"/>
      <c r="B29" s="231"/>
      <c r="C29" s="231"/>
      <c r="D29" s="246"/>
      <c r="E29" s="146"/>
      <c r="F29" s="248"/>
      <c r="G29" s="147"/>
      <c r="H29" s="250"/>
      <c r="I29" s="237"/>
      <c r="J29" s="240"/>
      <c r="K29" s="222"/>
      <c r="L29" s="243"/>
      <c r="M29" s="222">
        <f ca="1">IF(NOT(ISERROR(MATCH(L29,_xlfn.ANCHORARRAY(F40),0))),K42&amp;"Por favor no seleccionar los criterios de impacto",L29)</f>
        <v>0</v>
      </c>
      <c r="N29" s="240"/>
      <c r="O29" s="222"/>
      <c r="P29" s="225"/>
      <c r="Q29" s="105">
        <v>2</v>
      </c>
      <c r="R29" s="106"/>
      <c r="S29" s="107" t="str">
        <f>IF(OR(T29="Preventivo",T29="Detectivo"),"Probabilidad",IF(T29="Correctivo","Impacto",""))</f>
        <v/>
      </c>
      <c r="T29" s="108"/>
      <c r="U29" s="108"/>
      <c r="V29" s="109" t="str">
        <f t="shared" ref="V29:V33" si="25">IF(AND(T29="Preventivo",U29="Automático"),"50%",IF(AND(T29="Preventivo",U29="Manual"),"40%",IF(AND(T29="Detectivo",U29="Automático"),"40%",IF(AND(T29="Detectivo",U29="Manual"),"30%",IF(AND(T29="Correctivo",U29="Automático"),"35%",IF(AND(T29="Correctivo",U29="Manual"),"25%",""))))))</f>
        <v/>
      </c>
      <c r="W29" s="108"/>
      <c r="X29" s="108"/>
      <c r="Y29" s="108"/>
      <c r="Z29" s="110" t="str">
        <f>IFERROR(IF(AND(S28="Probabilidad",S29="Probabilidad"),(AB28-(+AB28*V29)),IF(AND(S28="Impacto",S29="Probabilidad"),(AB27-(+AB27*V29)),IF(S29="Impacto",AB28,""))),"")</f>
        <v/>
      </c>
      <c r="AA29" s="111" t="str">
        <f t="shared" ref="AA29:AA33" si="26">IFERROR(IF(Z29="","",IF(Z29&lt;=0.2,"Muy Baja",IF(Z29&lt;=0.4,"Baja",IF(Z29&lt;=0.6,"Media",IF(Z29&lt;=0.8,"Alta","Muy Alta"))))),"")</f>
        <v/>
      </c>
      <c r="AB29" s="112" t="str">
        <f t="shared" ref="AB29:AB33" si="27">+Z29</f>
        <v/>
      </c>
      <c r="AC29" s="111" t="str">
        <f t="shared" ref="AC29:AC33" si="28">IFERROR(IF(AD29="","",IF(AD29&lt;=0.2,"Leve",IF(AD29&lt;=0.4,"Menor",IF(AD29&lt;=0.6,"Moderado",IF(AD29&lt;=0.8,"Mayor","Catastrófico"))))),"")</f>
        <v/>
      </c>
      <c r="AD29" s="112" t="str">
        <f>IFERROR(IF(AND(S28="Impacto",S29="Impacto"),(AD28-(+AD28*V29)),IF(AND(S28="Probabilidad",S29="Impacto"),(AD27-(+AD27*V29)),IF(S29="Probabilidad",AD28,""))),"")</f>
        <v/>
      </c>
      <c r="AE29" s="113" t="str">
        <f t="shared" ref="AE29:AE33" si="29">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14"/>
      <c r="AG29" s="115"/>
      <c r="AH29" s="116"/>
      <c r="AI29" s="117"/>
      <c r="AJ29" s="117"/>
      <c r="AK29" s="115"/>
      <c r="AL29" s="11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x14ac:dyDescent="0.3">
      <c r="A30" s="228"/>
      <c r="B30" s="231"/>
      <c r="C30" s="231"/>
      <c r="D30" s="246"/>
      <c r="E30" s="146"/>
      <c r="F30" s="248"/>
      <c r="G30" s="147"/>
      <c r="H30" s="250"/>
      <c r="I30" s="237"/>
      <c r="J30" s="240"/>
      <c r="K30" s="222"/>
      <c r="L30" s="243"/>
      <c r="M30" s="222">
        <f ca="1">IF(NOT(ISERROR(MATCH(L30,_xlfn.ANCHORARRAY(F41),0))),K43&amp;"Por favor no seleccionar los criterios de impacto",L30)</f>
        <v>0</v>
      </c>
      <c r="N30" s="240"/>
      <c r="O30" s="222"/>
      <c r="P30" s="225"/>
      <c r="Q30" s="105">
        <v>3</v>
      </c>
      <c r="R30" s="118"/>
      <c r="S30" s="107" t="str">
        <f>IF(OR(T30="Preventivo",T30="Detectivo"),"Probabilidad",IF(T30="Correctivo","Impacto",""))</f>
        <v/>
      </c>
      <c r="T30" s="108"/>
      <c r="U30" s="108"/>
      <c r="V30" s="109" t="str">
        <f t="shared" si="25"/>
        <v/>
      </c>
      <c r="W30" s="108"/>
      <c r="X30" s="108"/>
      <c r="Y30" s="108"/>
      <c r="Z30" s="110" t="str">
        <f t="shared" ref="Z30:Z33" si="30">IFERROR(IF(AND(S29="Probabilidad",S30="Probabilidad"),(AB29-(+AB29*V30)),IF(AND(S29="Impacto",S30="Probabilidad"),(AB28-(+AB28*V30)),IF(S30="Impacto",AB29,""))),"")</f>
        <v/>
      </c>
      <c r="AA30" s="111" t="str">
        <f t="shared" si="26"/>
        <v/>
      </c>
      <c r="AB30" s="112" t="str">
        <f t="shared" si="27"/>
        <v/>
      </c>
      <c r="AC30" s="111" t="str">
        <f t="shared" si="28"/>
        <v/>
      </c>
      <c r="AD30" s="112" t="str">
        <f t="shared" ref="AD30:AD33" si="31">IFERROR(IF(AND(S29="Impacto",S30="Impacto"),(AD29-(+AD29*V30)),IF(AND(S29="Probabilidad",S30="Impacto"),(AD28-(+AD28*V30)),IF(S30="Probabilidad",AD29,""))),"")</f>
        <v/>
      </c>
      <c r="AE30" s="113" t="str">
        <f t="shared" si="29"/>
        <v/>
      </c>
      <c r="AF30" s="114"/>
      <c r="AG30" s="115"/>
      <c r="AH30" s="116"/>
      <c r="AI30" s="117"/>
      <c r="AJ30" s="117"/>
      <c r="AK30" s="115"/>
      <c r="AL30" s="11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x14ac:dyDescent="0.3">
      <c r="A31" s="228"/>
      <c r="B31" s="231"/>
      <c r="C31" s="231"/>
      <c r="D31" s="246"/>
      <c r="E31" s="146"/>
      <c r="F31" s="248"/>
      <c r="G31" s="147"/>
      <c r="H31" s="250"/>
      <c r="I31" s="237"/>
      <c r="J31" s="240"/>
      <c r="K31" s="222"/>
      <c r="L31" s="243"/>
      <c r="M31" s="222">
        <f ca="1">IF(NOT(ISERROR(MATCH(L31,_xlfn.ANCHORARRAY(F42),0))),K44&amp;"Por favor no seleccionar los criterios de impacto",L31)</f>
        <v>0</v>
      </c>
      <c r="N31" s="240"/>
      <c r="O31" s="222"/>
      <c r="P31" s="225"/>
      <c r="Q31" s="105">
        <v>4</v>
      </c>
      <c r="R31" s="106"/>
      <c r="S31" s="107" t="str">
        <f t="shared" ref="S31:S33" si="32">IF(OR(T31="Preventivo",T31="Detectivo"),"Probabilidad",IF(T31="Correctivo","Impacto",""))</f>
        <v/>
      </c>
      <c r="T31" s="108"/>
      <c r="U31" s="108"/>
      <c r="V31" s="109" t="str">
        <f t="shared" si="25"/>
        <v/>
      </c>
      <c r="W31" s="108"/>
      <c r="X31" s="108"/>
      <c r="Y31" s="108"/>
      <c r="Z31" s="110" t="str">
        <f t="shared" si="30"/>
        <v/>
      </c>
      <c r="AA31" s="111" t="str">
        <f t="shared" si="26"/>
        <v/>
      </c>
      <c r="AB31" s="112" t="str">
        <f t="shared" si="27"/>
        <v/>
      </c>
      <c r="AC31" s="111" t="str">
        <f t="shared" si="28"/>
        <v/>
      </c>
      <c r="AD31" s="112" t="str">
        <f t="shared" si="31"/>
        <v/>
      </c>
      <c r="AE31" s="113" t="str">
        <f t="shared" si="29"/>
        <v/>
      </c>
      <c r="AF31" s="114"/>
      <c r="AG31" s="115"/>
      <c r="AH31" s="116"/>
      <c r="AI31" s="117"/>
      <c r="AJ31" s="117"/>
      <c r="AK31" s="115"/>
      <c r="AL31" s="11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x14ac:dyDescent="0.3">
      <c r="A32" s="228"/>
      <c r="B32" s="231"/>
      <c r="C32" s="231"/>
      <c r="D32" s="246"/>
      <c r="E32" s="146"/>
      <c r="F32" s="248"/>
      <c r="G32" s="147"/>
      <c r="H32" s="250"/>
      <c r="I32" s="237"/>
      <c r="J32" s="240"/>
      <c r="K32" s="222"/>
      <c r="L32" s="243"/>
      <c r="M32" s="222">
        <f ca="1">IF(NOT(ISERROR(MATCH(L32,_xlfn.ANCHORARRAY(F43),0))),K45&amp;"Por favor no seleccionar los criterios de impacto",L32)</f>
        <v>0</v>
      </c>
      <c r="N32" s="240"/>
      <c r="O32" s="222"/>
      <c r="P32" s="225"/>
      <c r="Q32" s="105">
        <v>5</v>
      </c>
      <c r="R32" s="106"/>
      <c r="S32" s="107" t="str">
        <f t="shared" si="32"/>
        <v/>
      </c>
      <c r="T32" s="108"/>
      <c r="U32" s="108"/>
      <c r="V32" s="109" t="str">
        <f t="shared" si="25"/>
        <v/>
      </c>
      <c r="W32" s="108"/>
      <c r="X32" s="108"/>
      <c r="Y32" s="108"/>
      <c r="Z32" s="110" t="str">
        <f t="shared" si="30"/>
        <v/>
      </c>
      <c r="AA32" s="111" t="str">
        <f t="shared" si="26"/>
        <v/>
      </c>
      <c r="AB32" s="112" t="str">
        <f t="shared" si="27"/>
        <v/>
      </c>
      <c r="AC32" s="111" t="str">
        <f t="shared" si="28"/>
        <v/>
      </c>
      <c r="AD32" s="112" t="str">
        <f t="shared" si="31"/>
        <v/>
      </c>
      <c r="AE32" s="113" t="str">
        <f t="shared" si="29"/>
        <v/>
      </c>
      <c r="AF32" s="114"/>
      <c r="AG32" s="115"/>
      <c r="AH32" s="116"/>
      <c r="AI32" s="117"/>
      <c r="AJ32" s="117"/>
      <c r="AK32" s="115"/>
      <c r="AL32" s="11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x14ac:dyDescent="0.3">
      <c r="A33" s="229"/>
      <c r="B33" s="232"/>
      <c r="C33" s="232"/>
      <c r="D33" s="247"/>
      <c r="E33" s="146"/>
      <c r="F33" s="248"/>
      <c r="G33" s="147"/>
      <c r="H33" s="251"/>
      <c r="I33" s="238"/>
      <c r="J33" s="241"/>
      <c r="K33" s="223"/>
      <c r="L33" s="244"/>
      <c r="M33" s="223">
        <f ca="1">IF(NOT(ISERROR(MATCH(L33,_xlfn.ANCHORARRAY(F44),0))),K46&amp;"Por favor no seleccionar los criterios de impacto",L33)</f>
        <v>0</v>
      </c>
      <c r="N33" s="241"/>
      <c r="O33" s="223"/>
      <c r="P33" s="226"/>
      <c r="Q33" s="105">
        <v>6</v>
      </c>
      <c r="R33" s="106"/>
      <c r="S33" s="107" t="str">
        <f t="shared" si="32"/>
        <v/>
      </c>
      <c r="T33" s="108"/>
      <c r="U33" s="108"/>
      <c r="V33" s="109" t="str">
        <f t="shared" si="25"/>
        <v/>
      </c>
      <c r="W33" s="108"/>
      <c r="X33" s="108"/>
      <c r="Y33" s="108"/>
      <c r="Z33" s="110" t="str">
        <f t="shared" si="30"/>
        <v/>
      </c>
      <c r="AA33" s="111" t="str">
        <f t="shared" si="26"/>
        <v/>
      </c>
      <c r="AB33" s="112" t="str">
        <f t="shared" si="27"/>
        <v/>
      </c>
      <c r="AC33" s="111" t="str">
        <f t="shared" si="28"/>
        <v/>
      </c>
      <c r="AD33" s="112" t="str">
        <f t="shared" si="31"/>
        <v/>
      </c>
      <c r="AE33" s="113" t="str">
        <f t="shared" si="29"/>
        <v/>
      </c>
      <c r="AF33" s="114"/>
      <c r="AG33" s="115"/>
      <c r="AH33" s="116"/>
      <c r="AI33" s="117"/>
      <c r="AJ33" s="117"/>
      <c r="AK33" s="115"/>
      <c r="AL33" s="11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x14ac:dyDescent="0.3">
      <c r="A34" s="227">
        <v>5</v>
      </c>
      <c r="B34" s="230"/>
      <c r="C34" s="230"/>
      <c r="D34" s="245"/>
      <c r="E34" s="146"/>
      <c r="F34" s="248"/>
      <c r="G34" s="147"/>
      <c r="H34" s="249"/>
      <c r="I34" s="236"/>
      <c r="J34" s="239" t="str">
        <f t="shared" ref="J34" si="33">IF(I34&lt;=0,"",IF(I34&lt;=2,"Muy Baja",IF(I34&lt;=24,"Baja",IF(I34&lt;=500,"Media",IF(I34&lt;=5000,"Alta","Muy Alta")))))</f>
        <v/>
      </c>
      <c r="K34" s="221" t="str">
        <f t="shared" ref="K34" si="34">IF(J34="","",IF(J34="Muy Baja",0.2,IF(J34="Baja",0.4,IF(J34="Media",0.6,IF(J34="Alta",0.8,IF(J34="Muy Alta",1,))))))</f>
        <v/>
      </c>
      <c r="L34" s="242"/>
      <c r="M34" s="221">
        <f ca="1">IF(NOT(ISERROR(MATCH(L34,'Tabla Impacto'!$B$221:$B$223,0))),'Tabla Impacto'!$F$223&amp;"Por favor no seleccionar los criterios de impacto(Afectación Económica o presupuestal y Pérdida Reputacional)",L34)</f>
        <v>0</v>
      </c>
      <c r="N34" s="239" t="str">
        <f ca="1">IF(OR(M34='Tabla Impacto'!$C$11,M34='Tabla Impacto'!$D$11),"Leve",IF(OR(M34='Tabla Impacto'!$C$12,M34='Tabla Impacto'!$D$12),"Menor",IF(OR(M34='Tabla Impacto'!$C$13,M34='Tabla Impacto'!$D$13),"Moderado",IF(OR(M34='Tabla Impacto'!$C$14,M34='Tabla Impacto'!$D$14),"Mayor",IF(OR(M34='Tabla Impacto'!$C$15,M34='Tabla Impacto'!$D$15),"Catastrófico","")))))</f>
        <v/>
      </c>
      <c r="O34" s="221" t="str">
        <f t="shared" ref="O34" ca="1" si="35">IF(N34="","",IF(N34="Leve",0.2,IF(N34="Menor",0.4,IF(N34="Moderado",0.6,IF(N34="Mayor",0.8,IF(N34="Catastrófico",1,))))))</f>
        <v/>
      </c>
      <c r="P34" s="224" t="str">
        <f t="shared" ref="P34" ca="1" si="36">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5">
        <v>1</v>
      </c>
      <c r="R34" s="106"/>
      <c r="S34" s="107" t="s">
        <v>214</v>
      </c>
      <c r="T34" s="108"/>
      <c r="U34" s="108"/>
      <c r="V34" s="109" t="s">
        <v>214</v>
      </c>
      <c r="W34" s="108"/>
      <c r="X34" s="108"/>
      <c r="Y34" s="108"/>
      <c r="Z34" s="110" t="s">
        <v>214</v>
      </c>
      <c r="AA34" s="111" t="s">
        <v>214</v>
      </c>
      <c r="AB34" s="112" t="s">
        <v>214</v>
      </c>
      <c r="AC34" s="111" t="s">
        <v>214</v>
      </c>
      <c r="AD34" s="112" t="s">
        <v>214</v>
      </c>
      <c r="AE34" s="113" t="s">
        <v>214</v>
      </c>
      <c r="AF34" s="114"/>
      <c r="AG34" s="115"/>
      <c r="AH34" s="116"/>
      <c r="AI34" s="117"/>
      <c r="AJ34" s="117"/>
      <c r="AK34" s="115"/>
      <c r="AL34" s="11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x14ac:dyDescent="0.3">
      <c r="A35" s="228"/>
      <c r="B35" s="231"/>
      <c r="C35" s="231"/>
      <c r="D35" s="246"/>
      <c r="E35" s="146"/>
      <c r="F35" s="248"/>
      <c r="G35" s="147"/>
      <c r="H35" s="250"/>
      <c r="I35" s="237"/>
      <c r="J35" s="240"/>
      <c r="K35" s="222"/>
      <c r="L35" s="243"/>
      <c r="M35" s="222">
        <f ca="1">IF(NOT(ISERROR(MATCH(L35,_xlfn.ANCHORARRAY(F46),0))),K48&amp;"Por favor no seleccionar los criterios de impacto",L35)</f>
        <v>0</v>
      </c>
      <c r="N35" s="240"/>
      <c r="O35" s="222"/>
      <c r="P35" s="225"/>
      <c r="Q35" s="105">
        <v>2</v>
      </c>
      <c r="R35" s="106"/>
      <c r="S35" s="107" t="s">
        <v>214</v>
      </c>
      <c r="T35" s="108"/>
      <c r="U35" s="108"/>
      <c r="V35" s="109" t="s">
        <v>214</v>
      </c>
      <c r="W35" s="108"/>
      <c r="X35" s="108"/>
      <c r="Y35" s="108"/>
      <c r="Z35" s="110" t="s">
        <v>214</v>
      </c>
      <c r="AA35" s="111" t="s">
        <v>214</v>
      </c>
      <c r="AB35" s="112" t="s">
        <v>214</v>
      </c>
      <c r="AC35" s="111" t="s">
        <v>214</v>
      </c>
      <c r="AD35" s="112" t="s">
        <v>214</v>
      </c>
      <c r="AE35" s="113" t="s">
        <v>214</v>
      </c>
      <c r="AF35" s="114"/>
      <c r="AG35" s="115"/>
      <c r="AH35" s="116"/>
      <c r="AI35" s="117"/>
      <c r="AJ35" s="117"/>
      <c r="AK35" s="115"/>
      <c r="AL35" s="11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x14ac:dyDescent="0.3">
      <c r="A36" s="228"/>
      <c r="B36" s="231"/>
      <c r="C36" s="231"/>
      <c r="D36" s="246"/>
      <c r="E36" s="146"/>
      <c r="F36" s="248"/>
      <c r="G36" s="147"/>
      <c r="H36" s="250"/>
      <c r="I36" s="237"/>
      <c r="J36" s="240"/>
      <c r="K36" s="222"/>
      <c r="L36" s="243"/>
      <c r="M36" s="222">
        <f ca="1">IF(NOT(ISERROR(MATCH(L36,_xlfn.ANCHORARRAY(F47),0))),K49&amp;"Por favor no seleccionar los criterios de impacto",L36)</f>
        <v>0</v>
      </c>
      <c r="N36" s="240"/>
      <c r="O36" s="222"/>
      <c r="P36" s="225"/>
      <c r="Q36" s="105">
        <v>3</v>
      </c>
      <c r="R36" s="118"/>
      <c r="S36" s="107" t="s">
        <v>214</v>
      </c>
      <c r="T36" s="108"/>
      <c r="U36" s="108"/>
      <c r="V36" s="109" t="s">
        <v>214</v>
      </c>
      <c r="W36" s="108"/>
      <c r="X36" s="108"/>
      <c r="Y36" s="108"/>
      <c r="Z36" s="110" t="s">
        <v>214</v>
      </c>
      <c r="AA36" s="111" t="s">
        <v>214</v>
      </c>
      <c r="AB36" s="112" t="s">
        <v>214</v>
      </c>
      <c r="AC36" s="111" t="s">
        <v>214</v>
      </c>
      <c r="AD36" s="112" t="s">
        <v>214</v>
      </c>
      <c r="AE36" s="113" t="s">
        <v>214</v>
      </c>
      <c r="AF36" s="114"/>
      <c r="AG36" s="115"/>
      <c r="AH36" s="116"/>
      <c r="AI36" s="117"/>
      <c r="AJ36" s="117"/>
      <c r="AK36" s="115"/>
      <c r="AL36" s="11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x14ac:dyDescent="0.3">
      <c r="A37" s="228"/>
      <c r="B37" s="231"/>
      <c r="C37" s="231"/>
      <c r="D37" s="246"/>
      <c r="E37" s="146"/>
      <c r="F37" s="248"/>
      <c r="G37" s="147"/>
      <c r="H37" s="250"/>
      <c r="I37" s="237"/>
      <c r="J37" s="240"/>
      <c r="K37" s="222"/>
      <c r="L37" s="243"/>
      <c r="M37" s="222">
        <f ca="1">IF(NOT(ISERROR(MATCH(L37,_xlfn.ANCHORARRAY(F48),0))),K50&amp;"Por favor no seleccionar los criterios de impacto",L37)</f>
        <v>0</v>
      </c>
      <c r="N37" s="240"/>
      <c r="O37" s="222"/>
      <c r="P37" s="225"/>
      <c r="Q37" s="105">
        <v>4</v>
      </c>
      <c r="R37" s="106"/>
      <c r="S37" s="107" t="s">
        <v>214</v>
      </c>
      <c r="T37" s="108"/>
      <c r="U37" s="108"/>
      <c r="V37" s="109" t="s">
        <v>214</v>
      </c>
      <c r="W37" s="108"/>
      <c r="X37" s="108"/>
      <c r="Y37" s="108"/>
      <c r="Z37" s="110" t="s">
        <v>214</v>
      </c>
      <c r="AA37" s="111" t="s">
        <v>214</v>
      </c>
      <c r="AB37" s="112" t="s">
        <v>214</v>
      </c>
      <c r="AC37" s="111" t="s">
        <v>214</v>
      </c>
      <c r="AD37" s="112" t="s">
        <v>214</v>
      </c>
      <c r="AE37" s="113" t="s">
        <v>214</v>
      </c>
      <c r="AF37" s="114"/>
      <c r="AG37" s="115"/>
      <c r="AH37" s="116"/>
      <c r="AI37" s="117"/>
      <c r="AJ37" s="117"/>
      <c r="AK37" s="115"/>
      <c r="AL37" s="11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x14ac:dyDescent="0.3">
      <c r="A38" s="228"/>
      <c r="B38" s="231"/>
      <c r="C38" s="231"/>
      <c r="D38" s="246"/>
      <c r="E38" s="146"/>
      <c r="F38" s="248"/>
      <c r="G38" s="147"/>
      <c r="H38" s="250"/>
      <c r="I38" s="237"/>
      <c r="J38" s="240"/>
      <c r="K38" s="222"/>
      <c r="L38" s="243"/>
      <c r="M38" s="222">
        <f ca="1">IF(NOT(ISERROR(MATCH(L38,_xlfn.ANCHORARRAY(F49),0))),K51&amp;"Por favor no seleccionar los criterios de impacto",L38)</f>
        <v>0</v>
      </c>
      <c r="N38" s="240"/>
      <c r="O38" s="222"/>
      <c r="P38" s="225"/>
      <c r="Q38" s="105">
        <v>5</v>
      </c>
      <c r="R38" s="106"/>
      <c r="S38" s="107" t="s">
        <v>214</v>
      </c>
      <c r="T38" s="108"/>
      <c r="U38" s="108"/>
      <c r="V38" s="109" t="s">
        <v>214</v>
      </c>
      <c r="W38" s="108"/>
      <c r="X38" s="108"/>
      <c r="Y38" s="108"/>
      <c r="Z38" s="110" t="s">
        <v>214</v>
      </c>
      <c r="AA38" s="111" t="s">
        <v>214</v>
      </c>
      <c r="AB38" s="112" t="s">
        <v>214</v>
      </c>
      <c r="AC38" s="111" t="s">
        <v>214</v>
      </c>
      <c r="AD38" s="112" t="s">
        <v>214</v>
      </c>
      <c r="AE38" s="113" t="s">
        <v>214</v>
      </c>
      <c r="AF38" s="114"/>
      <c r="AG38" s="115"/>
      <c r="AH38" s="116"/>
      <c r="AI38" s="117"/>
      <c r="AJ38" s="117"/>
      <c r="AK38" s="115"/>
      <c r="AL38" s="11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x14ac:dyDescent="0.3">
      <c r="A39" s="229"/>
      <c r="B39" s="232"/>
      <c r="C39" s="232"/>
      <c r="D39" s="247"/>
      <c r="E39" s="146"/>
      <c r="F39" s="248"/>
      <c r="G39" s="147"/>
      <c r="H39" s="251"/>
      <c r="I39" s="238"/>
      <c r="J39" s="241"/>
      <c r="K39" s="223"/>
      <c r="L39" s="244"/>
      <c r="M39" s="223">
        <f ca="1">IF(NOT(ISERROR(MATCH(L39,_xlfn.ANCHORARRAY(F50),0))),K52&amp;"Por favor no seleccionar los criterios de impacto",L39)</f>
        <v>0</v>
      </c>
      <c r="N39" s="241"/>
      <c r="O39" s="223"/>
      <c r="P39" s="226"/>
      <c r="Q39" s="105">
        <v>6</v>
      </c>
      <c r="R39" s="106"/>
      <c r="S39" s="107" t="s">
        <v>214</v>
      </c>
      <c r="T39" s="108"/>
      <c r="U39" s="108"/>
      <c r="V39" s="109" t="s">
        <v>214</v>
      </c>
      <c r="W39" s="108"/>
      <c r="X39" s="108"/>
      <c r="Y39" s="108"/>
      <c r="Z39" s="110" t="s">
        <v>214</v>
      </c>
      <c r="AA39" s="111" t="s">
        <v>214</v>
      </c>
      <c r="AB39" s="112" t="s">
        <v>214</v>
      </c>
      <c r="AC39" s="111" t="s">
        <v>214</v>
      </c>
      <c r="AD39" s="112" t="s">
        <v>214</v>
      </c>
      <c r="AE39" s="113" t="s">
        <v>214</v>
      </c>
      <c r="AF39" s="114"/>
      <c r="AG39" s="115"/>
      <c r="AH39" s="116"/>
      <c r="AI39" s="117"/>
      <c r="AJ39" s="117"/>
      <c r="AK39" s="115"/>
      <c r="AL39" s="11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x14ac:dyDescent="0.3">
      <c r="A40" s="227">
        <v>6</v>
      </c>
      <c r="B40" s="230"/>
      <c r="C40" s="230"/>
      <c r="D40" s="245"/>
      <c r="E40" s="146"/>
      <c r="F40" s="248"/>
      <c r="G40" s="147"/>
      <c r="H40" s="249"/>
      <c r="I40" s="236"/>
      <c r="J40" s="239" t="str">
        <f t="shared" ref="J40" si="37">IF(I40&lt;=0,"",IF(I40&lt;=2,"Muy Baja",IF(I40&lt;=24,"Baja",IF(I40&lt;=500,"Media",IF(I40&lt;=5000,"Alta","Muy Alta")))))</f>
        <v/>
      </c>
      <c r="K40" s="221" t="str">
        <f t="shared" ref="K40" si="38">IF(J40="","",IF(J40="Muy Baja",0.2,IF(J40="Baja",0.4,IF(J40="Media",0.6,IF(J40="Alta",0.8,IF(J40="Muy Alta",1,))))))</f>
        <v/>
      </c>
      <c r="L40" s="242"/>
      <c r="M40" s="221">
        <f ca="1">IF(NOT(ISERROR(MATCH(L40,'Tabla Impacto'!$B$221:$B$223,0))),'Tabla Impacto'!$F$223&amp;"Por favor no seleccionar los criterios de impacto(Afectación Económica o presupuestal y Pérdida Reputacional)",L40)</f>
        <v>0</v>
      </c>
      <c r="N40" s="239" t="str">
        <f ca="1">IF(OR(M40='Tabla Impacto'!$C$11,M40='Tabla Impacto'!$D$11),"Leve",IF(OR(M40='Tabla Impacto'!$C$12,M40='Tabla Impacto'!$D$12),"Menor",IF(OR(M40='Tabla Impacto'!$C$13,M40='Tabla Impacto'!$D$13),"Moderado",IF(OR(M40='Tabla Impacto'!$C$14,M40='Tabla Impacto'!$D$14),"Mayor",IF(OR(M40='Tabla Impacto'!$C$15,M40='Tabla Impacto'!$D$15),"Catastrófico","")))))</f>
        <v/>
      </c>
      <c r="O40" s="221" t="str">
        <f t="shared" ref="O40" ca="1" si="39">IF(N40="","",IF(N40="Leve",0.2,IF(N40="Menor",0.4,IF(N40="Moderado",0.6,IF(N40="Mayor",0.8,IF(N40="Catastrófico",1,))))))</f>
        <v/>
      </c>
      <c r="P40" s="224" t="str">
        <f t="shared" ref="P40" ca="1" si="40">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5">
        <v>1</v>
      </c>
      <c r="R40" s="106"/>
      <c r="S40" s="107" t="s">
        <v>214</v>
      </c>
      <c r="T40" s="108"/>
      <c r="U40" s="108"/>
      <c r="V40" s="109" t="s">
        <v>214</v>
      </c>
      <c r="W40" s="108"/>
      <c r="X40" s="108"/>
      <c r="Y40" s="108"/>
      <c r="Z40" s="110" t="s">
        <v>214</v>
      </c>
      <c r="AA40" s="111" t="s">
        <v>214</v>
      </c>
      <c r="AB40" s="112" t="s">
        <v>214</v>
      </c>
      <c r="AC40" s="111" t="s">
        <v>214</v>
      </c>
      <c r="AD40" s="112" t="s">
        <v>214</v>
      </c>
      <c r="AE40" s="113" t="s">
        <v>214</v>
      </c>
      <c r="AF40" s="114"/>
      <c r="AG40" s="115"/>
      <c r="AH40" s="116"/>
      <c r="AI40" s="117"/>
      <c r="AJ40" s="117"/>
      <c r="AK40" s="115"/>
      <c r="AL40" s="11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x14ac:dyDescent="0.3">
      <c r="A41" s="228"/>
      <c r="B41" s="231"/>
      <c r="C41" s="231"/>
      <c r="D41" s="246"/>
      <c r="E41" s="146"/>
      <c r="F41" s="248"/>
      <c r="G41" s="147"/>
      <c r="H41" s="250"/>
      <c r="I41" s="237"/>
      <c r="J41" s="240"/>
      <c r="K41" s="222"/>
      <c r="L41" s="243"/>
      <c r="M41" s="222">
        <f ca="1">IF(NOT(ISERROR(MATCH(L41,_xlfn.ANCHORARRAY(F52),0))),K54&amp;"Por favor no seleccionar los criterios de impacto",L41)</f>
        <v>0</v>
      </c>
      <c r="N41" s="240"/>
      <c r="O41" s="222"/>
      <c r="P41" s="225"/>
      <c r="Q41" s="105">
        <v>2</v>
      </c>
      <c r="R41" s="106"/>
      <c r="S41" s="107" t="s">
        <v>214</v>
      </c>
      <c r="T41" s="108"/>
      <c r="U41" s="108"/>
      <c r="V41" s="109" t="s">
        <v>214</v>
      </c>
      <c r="W41" s="108"/>
      <c r="X41" s="108"/>
      <c r="Y41" s="108"/>
      <c r="Z41" s="110" t="s">
        <v>214</v>
      </c>
      <c r="AA41" s="111" t="s">
        <v>214</v>
      </c>
      <c r="AB41" s="112" t="s">
        <v>214</v>
      </c>
      <c r="AC41" s="111" t="s">
        <v>214</v>
      </c>
      <c r="AD41" s="112" t="s">
        <v>214</v>
      </c>
      <c r="AE41" s="113" t="s">
        <v>214</v>
      </c>
      <c r="AF41" s="114"/>
      <c r="AG41" s="115"/>
      <c r="AH41" s="116"/>
      <c r="AI41" s="117"/>
      <c r="AJ41" s="117"/>
      <c r="AK41" s="115"/>
      <c r="AL41" s="11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x14ac:dyDescent="0.3">
      <c r="A42" s="228"/>
      <c r="B42" s="231"/>
      <c r="C42" s="231"/>
      <c r="D42" s="246"/>
      <c r="E42" s="146"/>
      <c r="F42" s="248"/>
      <c r="G42" s="147"/>
      <c r="H42" s="250"/>
      <c r="I42" s="237"/>
      <c r="J42" s="240"/>
      <c r="K42" s="222"/>
      <c r="L42" s="243"/>
      <c r="M42" s="222">
        <f ca="1">IF(NOT(ISERROR(MATCH(L42,_xlfn.ANCHORARRAY(F53),0))),K55&amp;"Por favor no seleccionar los criterios de impacto",L42)</f>
        <v>0</v>
      </c>
      <c r="N42" s="240"/>
      <c r="O42" s="222"/>
      <c r="P42" s="225"/>
      <c r="Q42" s="105">
        <v>3</v>
      </c>
      <c r="R42" s="118"/>
      <c r="S42" s="107" t="s">
        <v>214</v>
      </c>
      <c r="T42" s="108"/>
      <c r="U42" s="108"/>
      <c r="V42" s="109" t="s">
        <v>214</v>
      </c>
      <c r="W42" s="108"/>
      <c r="X42" s="108"/>
      <c r="Y42" s="108"/>
      <c r="Z42" s="110" t="s">
        <v>214</v>
      </c>
      <c r="AA42" s="111" t="s">
        <v>214</v>
      </c>
      <c r="AB42" s="112" t="s">
        <v>214</v>
      </c>
      <c r="AC42" s="111" t="s">
        <v>214</v>
      </c>
      <c r="AD42" s="112" t="s">
        <v>214</v>
      </c>
      <c r="AE42" s="113" t="s">
        <v>214</v>
      </c>
      <c r="AF42" s="114"/>
      <c r="AG42" s="115"/>
      <c r="AH42" s="116"/>
      <c r="AI42" s="117"/>
      <c r="AJ42" s="117"/>
      <c r="AK42" s="115"/>
      <c r="AL42" s="11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x14ac:dyDescent="0.3">
      <c r="A43" s="228"/>
      <c r="B43" s="231"/>
      <c r="C43" s="231"/>
      <c r="D43" s="246"/>
      <c r="E43" s="146"/>
      <c r="F43" s="248"/>
      <c r="G43" s="147"/>
      <c r="H43" s="250"/>
      <c r="I43" s="237"/>
      <c r="J43" s="240"/>
      <c r="K43" s="222"/>
      <c r="L43" s="243"/>
      <c r="M43" s="222">
        <f ca="1">IF(NOT(ISERROR(MATCH(L43,_xlfn.ANCHORARRAY(F54),0))),K56&amp;"Por favor no seleccionar los criterios de impacto",L43)</f>
        <v>0</v>
      </c>
      <c r="N43" s="240"/>
      <c r="O43" s="222"/>
      <c r="P43" s="225"/>
      <c r="Q43" s="105">
        <v>4</v>
      </c>
      <c r="R43" s="106"/>
      <c r="S43" s="107" t="s">
        <v>214</v>
      </c>
      <c r="T43" s="108"/>
      <c r="U43" s="108"/>
      <c r="V43" s="109" t="s">
        <v>214</v>
      </c>
      <c r="W43" s="108"/>
      <c r="X43" s="108"/>
      <c r="Y43" s="108"/>
      <c r="Z43" s="110" t="s">
        <v>214</v>
      </c>
      <c r="AA43" s="111" t="s">
        <v>214</v>
      </c>
      <c r="AB43" s="112" t="s">
        <v>214</v>
      </c>
      <c r="AC43" s="111" t="s">
        <v>214</v>
      </c>
      <c r="AD43" s="112" t="s">
        <v>214</v>
      </c>
      <c r="AE43" s="113" t="s">
        <v>214</v>
      </c>
      <c r="AF43" s="114"/>
      <c r="AG43" s="115"/>
      <c r="AH43" s="116"/>
      <c r="AI43" s="117"/>
      <c r="AJ43" s="117"/>
      <c r="AK43" s="115"/>
      <c r="AL43" s="11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x14ac:dyDescent="0.3">
      <c r="A44" s="228"/>
      <c r="B44" s="231"/>
      <c r="C44" s="231"/>
      <c r="D44" s="246"/>
      <c r="E44" s="146"/>
      <c r="F44" s="248"/>
      <c r="G44" s="147"/>
      <c r="H44" s="250"/>
      <c r="I44" s="237"/>
      <c r="J44" s="240"/>
      <c r="K44" s="222"/>
      <c r="L44" s="243"/>
      <c r="M44" s="222">
        <f ca="1">IF(NOT(ISERROR(MATCH(L44,_xlfn.ANCHORARRAY(F55),0))),K57&amp;"Por favor no seleccionar los criterios de impacto",L44)</f>
        <v>0</v>
      </c>
      <c r="N44" s="240"/>
      <c r="O44" s="222"/>
      <c r="P44" s="225"/>
      <c r="Q44" s="105">
        <v>5</v>
      </c>
      <c r="R44" s="106"/>
      <c r="S44" s="107" t="s">
        <v>214</v>
      </c>
      <c r="T44" s="108"/>
      <c r="U44" s="108"/>
      <c r="V44" s="109" t="s">
        <v>214</v>
      </c>
      <c r="W44" s="108"/>
      <c r="X44" s="108"/>
      <c r="Y44" s="108"/>
      <c r="Z44" s="110" t="s">
        <v>214</v>
      </c>
      <c r="AA44" s="111" t="s">
        <v>214</v>
      </c>
      <c r="AB44" s="112" t="s">
        <v>214</v>
      </c>
      <c r="AC44" s="111" t="s">
        <v>214</v>
      </c>
      <c r="AD44" s="112" t="s">
        <v>214</v>
      </c>
      <c r="AE44" s="113" t="s">
        <v>214</v>
      </c>
      <c r="AF44" s="114"/>
      <c r="AG44" s="115"/>
      <c r="AH44" s="116"/>
      <c r="AI44" s="117"/>
      <c r="AJ44" s="117"/>
      <c r="AK44" s="115"/>
      <c r="AL44" s="11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x14ac:dyDescent="0.3">
      <c r="A45" s="229"/>
      <c r="B45" s="232"/>
      <c r="C45" s="232"/>
      <c r="D45" s="247"/>
      <c r="E45" s="146"/>
      <c r="F45" s="248"/>
      <c r="G45" s="147"/>
      <c r="H45" s="251"/>
      <c r="I45" s="238"/>
      <c r="J45" s="241"/>
      <c r="K45" s="223"/>
      <c r="L45" s="244"/>
      <c r="M45" s="223">
        <f ca="1">IF(NOT(ISERROR(MATCH(L45,_xlfn.ANCHORARRAY(F56),0))),K58&amp;"Por favor no seleccionar los criterios de impacto",L45)</f>
        <v>0</v>
      </c>
      <c r="N45" s="241"/>
      <c r="O45" s="223"/>
      <c r="P45" s="226"/>
      <c r="Q45" s="105">
        <v>6</v>
      </c>
      <c r="R45" s="106"/>
      <c r="S45" s="107" t="s">
        <v>214</v>
      </c>
      <c r="T45" s="108"/>
      <c r="U45" s="108"/>
      <c r="V45" s="109" t="s">
        <v>214</v>
      </c>
      <c r="W45" s="108"/>
      <c r="X45" s="108"/>
      <c r="Y45" s="108"/>
      <c r="Z45" s="110" t="s">
        <v>214</v>
      </c>
      <c r="AA45" s="111" t="s">
        <v>214</v>
      </c>
      <c r="AB45" s="112" t="s">
        <v>214</v>
      </c>
      <c r="AC45" s="111" t="s">
        <v>214</v>
      </c>
      <c r="AD45" s="112" t="s">
        <v>214</v>
      </c>
      <c r="AE45" s="113" t="s">
        <v>214</v>
      </c>
      <c r="AF45" s="114"/>
      <c r="AG45" s="115"/>
      <c r="AH45" s="116"/>
      <c r="AI45" s="117"/>
      <c r="AJ45" s="117"/>
      <c r="AK45" s="115"/>
      <c r="AL45" s="11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x14ac:dyDescent="0.3">
      <c r="A46" s="227">
        <v>7</v>
      </c>
      <c r="B46" s="230"/>
      <c r="C46" s="230"/>
      <c r="D46" s="230"/>
      <c r="E46" s="129"/>
      <c r="F46" s="234"/>
      <c r="G46" s="132"/>
      <c r="H46" s="230"/>
      <c r="I46" s="236"/>
      <c r="J46" s="239" t="str">
        <f t="shared" ref="J46" si="41">IF(I46&lt;=0,"",IF(I46&lt;=2,"Muy Baja",IF(I46&lt;=24,"Baja",IF(I46&lt;=500,"Media",IF(I46&lt;=5000,"Alta","Muy Alta")))))</f>
        <v/>
      </c>
      <c r="K46" s="221" t="str">
        <f t="shared" ref="K46" si="42">IF(J46="","",IF(J46="Muy Baja",0.2,IF(J46="Baja",0.4,IF(J46="Media",0.6,IF(J46="Alta",0.8,IF(J46="Muy Alta",1,))))))</f>
        <v/>
      </c>
      <c r="L46" s="242"/>
      <c r="M46" s="221">
        <f ca="1">IF(NOT(ISERROR(MATCH(L46,'Tabla Impacto'!$B$221:$B$223,0))),'Tabla Impacto'!$F$223&amp;"Por favor no seleccionar los criterios de impacto(Afectación Económica o presupuestal y Pérdida Reputacional)",L46)</f>
        <v>0</v>
      </c>
      <c r="N46" s="239" t="str">
        <f ca="1">IF(OR(M46='Tabla Impacto'!$C$11,M46='Tabla Impacto'!$D$11),"Leve",IF(OR(M46='Tabla Impacto'!$C$12,M46='Tabla Impacto'!$D$12),"Menor",IF(OR(M46='Tabla Impacto'!$C$13,M46='Tabla Impacto'!$D$13),"Moderado",IF(OR(M46='Tabla Impacto'!$C$14,M46='Tabla Impacto'!$D$14),"Mayor",IF(OR(M46='Tabla Impacto'!$C$15,M46='Tabla Impacto'!$D$15),"Catastrófico","")))))</f>
        <v/>
      </c>
      <c r="O46" s="221" t="str">
        <f t="shared" ref="O46" ca="1" si="43">IF(N46="","",IF(N46="Leve",0.2,IF(N46="Menor",0.4,IF(N46="Moderado",0.6,IF(N46="Mayor",0.8,IF(N46="Catastrófico",1,))))))</f>
        <v/>
      </c>
      <c r="P46" s="224" t="str">
        <f t="shared" ref="P46" ca="1" si="44">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5">
        <v>1</v>
      </c>
      <c r="R46" s="106"/>
      <c r="S46" s="107" t="s">
        <v>214</v>
      </c>
      <c r="T46" s="108"/>
      <c r="U46" s="108"/>
      <c r="V46" s="109" t="s">
        <v>214</v>
      </c>
      <c r="W46" s="108"/>
      <c r="X46" s="108"/>
      <c r="Y46" s="108"/>
      <c r="Z46" s="110" t="s">
        <v>214</v>
      </c>
      <c r="AA46" s="111" t="s">
        <v>214</v>
      </c>
      <c r="AB46" s="112" t="s">
        <v>214</v>
      </c>
      <c r="AC46" s="111" t="s">
        <v>214</v>
      </c>
      <c r="AD46" s="112" t="s">
        <v>214</v>
      </c>
      <c r="AE46" s="113" t="s">
        <v>214</v>
      </c>
      <c r="AF46" s="114"/>
      <c r="AG46" s="115"/>
      <c r="AH46" s="116"/>
      <c r="AI46" s="117"/>
      <c r="AJ46" s="117"/>
      <c r="AK46" s="115"/>
      <c r="AL46" s="11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x14ac:dyDescent="0.3">
      <c r="A47" s="228"/>
      <c r="B47" s="231"/>
      <c r="C47" s="231"/>
      <c r="D47" s="231"/>
      <c r="E47" s="129"/>
      <c r="F47" s="234"/>
      <c r="G47" s="132"/>
      <c r="H47" s="231"/>
      <c r="I47" s="237"/>
      <c r="J47" s="240"/>
      <c r="K47" s="222"/>
      <c r="L47" s="243"/>
      <c r="M47" s="222">
        <f ca="1">IF(NOT(ISERROR(MATCH(L47,_xlfn.ANCHORARRAY(F58),0))),K60&amp;"Por favor no seleccionar los criterios de impacto",L47)</f>
        <v>0</v>
      </c>
      <c r="N47" s="240"/>
      <c r="O47" s="222"/>
      <c r="P47" s="225"/>
      <c r="Q47" s="105">
        <v>2</v>
      </c>
      <c r="R47" s="106"/>
      <c r="S47" s="107" t="s">
        <v>214</v>
      </c>
      <c r="T47" s="108"/>
      <c r="U47" s="108"/>
      <c r="V47" s="109" t="s">
        <v>214</v>
      </c>
      <c r="W47" s="108"/>
      <c r="X47" s="108"/>
      <c r="Y47" s="108"/>
      <c r="Z47" s="110" t="s">
        <v>214</v>
      </c>
      <c r="AA47" s="111" t="s">
        <v>214</v>
      </c>
      <c r="AB47" s="112" t="s">
        <v>214</v>
      </c>
      <c r="AC47" s="111" t="s">
        <v>214</v>
      </c>
      <c r="AD47" s="112" t="s">
        <v>214</v>
      </c>
      <c r="AE47" s="113" t="s">
        <v>214</v>
      </c>
      <c r="AF47" s="114"/>
      <c r="AG47" s="115"/>
      <c r="AH47" s="116"/>
      <c r="AI47" s="117"/>
      <c r="AJ47" s="117"/>
      <c r="AK47" s="115"/>
      <c r="AL47" s="11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x14ac:dyDescent="0.3">
      <c r="A48" s="228"/>
      <c r="B48" s="231"/>
      <c r="C48" s="231"/>
      <c r="D48" s="231"/>
      <c r="E48" s="129"/>
      <c r="F48" s="234"/>
      <c r="G48" s="132"/>
      <c r="H48" s="231"/>
      <c r="I48" s="237"/>
      <c r="J48" s="240"/>
      <c r="K48" s="222"/>
      <c r="L48" s="243"/>
      <c r="M48" s="222">
        <f ca="1">IF(NOT(ISERROR(MATCH(L48,_xlfn.ANCHORARRAY(F59),0))),K61&amp;"Por favor no seleccionar los criterios de impacto",L48)</f>
        <v>0</v>
      </c>
      <c r="N48" s="240"/>
      <c r="O48" s="222"/>
      <c r="P48" s="225"/>
      <c r="Q48" s="105">
        <v>3</v>
      </c>
      <c r="R48" s="118"/>
      <c r="S48" s="107" t="s">
        <v>214</v>
      </c>
      <c r="T48" s="108"/>
      <c r="U48" s="108"/>
      <c r="V48" s="109" t="s">
        <v>214</v>
      </c>
      <c r="W48" s="108"/>
      <c r="X48" s="108"/>
      <c r="Y48" s="108"/>
      <c r="Z48" s="110" t="s">
        <v>214</v>
      </c>
      <c r="AA48" s="111" t="s">
        <v>214</v>
      </c>
      <c r="AB48" s="112" t="s">
        <v>214</v>
      </c>
      <c r="AC48" s="111" t="s">
        <v>214</v>
      </c>
      <c r="AD48" s="112" t="s">
        <v>214</v>
      </c>
      <c r="AE48" s="113" t="s">
        <v>214</v>
      </c>
      <c r="AF48" s="114"/>
      <c r="AG48" s="115"/>
      <c r="AH48" s="116"/>
      <c r="AI48" s="117"/>
      <c r="AJ48" s="117"/>
      <c r="AK48" s="115"/>
      <c r="AL48" s="11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x14ac:dyDescent="0.3">
      <c r="A49" s="228"/>
      <c r="B49" s="231"/>
      <c r="C49" s="231"/>
      <c r="D49" s="231"/>
      <c r="E49" s="129"/>
      <c r="F49" s="234"/>
      <c r="G49" s="132"/>
      <c r="H49" s="231"/>
      <c r="I49" s="237"/>
      <c r="J49" s="240"/>
      <c r="K49" s="222"/>
      <c r="L49" s="243"/>
      <c r="M49" s="222">
        <f ca="1">IF(NOT(ISERROR(MATCH(L49,_xlfn.ANCHORARRAY(F60),0))),K62&amp;"Por favor no seleccionar los criterios de impacto",L49)</f>
        <v>0</v>
      </c>
      <c r="N49" s="240"/>
      <c r="O49" s="222"/>
      <c r="P49" s="225"/>
      <c r="Q49" s="105">
        <v>4</v>
      </c>
      <c r="R49" s="106"/>
      <c r="S49" s="107" t="s">
        <v>214</v>
      </c>
      <c r="T49" s="108"/>
      <c r="U49" s="108"/>
      <c r="V49" s="109" t="s">
        <v>214</v>
      </c>
      <c r="W49" s="108"/>
      <c r="X49" s="108"/>
      <c r="Y49" s="108"/>
      <c r="Z49" s="110" t="s">
        <v>214</v>
      </c>
      <c r="AA49" s="111" t="s">
        <v>214</v>
      </c>
      <c r="AB49" s="112" t="s">
        <v>214</v>
      </c>
      <c r="AC49" s="111" t="s">
        <v>214</v>
      </c>
      <c r="AD49" s="112" t="s">
        <v>214</v>
      </c>
      <c r="AE49" s="113" t="s">
        <v>214</v>
      </c>
      <c r="AF49" s="114"/>
      <c r="AG49" s="115"/>
      <c r="AH49" s="116"/>
      <c r="AI49" s="117"/>
      <c r="AJ49" s="117"/>
      <c r="AK49" s="115"/>
      <c r="AL49" s="11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x14ac:dyDescent="0.3">
      <c r="A50" s="228"/>
      <c r="B50" s="231"/>
      <c r="C50" s="231"/>
      <c r="D50" s="231"/>
      <c r="E50" s="129"/>
      <c r="F50" s="234"/>
      <c r="G50" s="132"/>
      <c r="H50" s="231"/>
      <c r="I50" s="237"/>
      <c r="J50" s="240"/>
      <c r="K50" s="222"/>
      <c r="L50" s="243"/>
      <c r="M50" s="222">
        <f ca="1">IF(NOT(ISERROR(MATCH(L50,_xlfn.ANCHORARRAY(F61),0))),K63&amp;"Por favor no seleccionar los criterios de impacto",L50)</f>
        <v>0</v>
      </c>
      <c r="N50" s="240"/>
      <c r="O50" s="222"/>
      <c r="P50" s="225"/>
      <c r="Q50" s="105">
        <v>5</v>
      </c>
      <c r="R50" s="106"/>
      <c r="S50" s="107" t="s">
        <v>214</v>
      </c>
      <c r="T50" s="108"/>
      <c r="U50" s="108"/>
      <c r="V50" s="109" t="s">
        <v>214</v>
      </c>
      <c r="W50" s="108"/>
      <c r="X50" s="108"/>
      <c r="Y50" s="108"/>
      <c r="Z50" s="110" t="s">
        <v>214</v>
      </c>
      <c r="AA50" s="111" t="s">
        <v>214</v>
      </c>
      <c r="AB50" s="112" t="s">
        <v>214</v>
      </c>
      <c r="AC50" s="111" t="s">
        <v>214</v>
      </c>
      <c r="AD50" s="112" t="s">
        <v>214</v>
      </c>
      <c r="AE50" s="113" t="s">
        <v>214</v>
      </c>
      <c r="AF50" s="114"/>
      <c r="AG50" s="115"/>
      <c r="AH50" s="116"/>
      <c r="AI50" s="117"/>
      <c r="AJ50" s="117"/>
      <c r="AK50" s="115"/>
      <c r="AL50" s="11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x14ac:dyDescent="0.3">
      <c r="A51" s="229"/>
      <c r="B51" s="232"/>
      <c r="C51" s="232"/>
      <c r="D51" s="232"/>
      <c r="E51" s="130"/>
      <c r="F51" s="235"/>
      <c r="G51" s="133"/>
      <c r="H51" s="232"/>
      <c r="I51" s="238"/>
      <c r="J51" s="241"/>
      <c r="K51" s="223"/>
      <c r="L51" s="244"/>
      <c r="M51" s="223">
        <f ca="1">IF(NOT(ISERROR(MATCH(L51,_xlfn.ANCHORARRAY(F62),0))),K64&amp;"Por favor no seleccionar los criterios de impacto",L51)</f>
        <v>0</v>
      </c>
      <c r="N51" s="241"/>
      <c r="O51" s="223"/>
      <c r="P51" s="226"/>
      <c r="Q51" s="105">
        <v>6</v>
      </c>
      <c r="R51" s="106"/>
      <c r="S51" s="107" t="s">
        <v>214</v>
      </c>
      <c r="T51" s="108"/>
      <c r="U51" s="108"/>
      <c r="V51" s="109" t="s">
        <v>214</v>
      </c>
      <c r="W51" s="108"/>
      <c r="X51" s="108"/>
      <c r="Y51" s="108"/>
      <c r="Z51" s="110" t="s">
        <v>214</v>
      </c>
      <c r="AA51" s="111" t="s">
        <v>214</v>
      </c>
      <c r="AB51" s="112" t="s">
        <v>214</v>
      </c>
      <c r="AC51" s="111" t="s">
        <v>214</v>
      </c>
      <c r="AD51" s="112" t="s">
        <v>214</v>
      </c>
      <c r="AE51" s="113" t="s">
        <v>214</v>
      </c>
      <c r="AF51" s="114"/>
      <c r="AG51" s="115"/>
      <c r="AH51" s="116"/>
      <c r="AI51" s="117"/>
      <c r="AJ51" s="117"/>
      <c r="AK51" s="115"/>
      <c r="AL51" s="11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x14ac:dyDescent="0.3">
      <c r="A52" s="227">
        <v>8</v>
      </c>
      <c r="B52" s="230"/>
      <c r="C52" s="230"/>
      <c r="D52" s="230"/>
      <c r="E52" s="128"/>
      <c r="F52" s="233"/>
      <c r="G52" s="131"/>
      <c r="H52" s="230"/>
      <c r="I52" s="236"/>
      <c r="J52" s="239" t="str">
        <f t="shared" ref="J52" si="45">IF(I52&lt;=0,"",IF(I52&lt;=2,"Muy Baja",IF(I52&lt;=24,"Baja",IF(I52&lt;=500,"Media",IF(I52&lt;=5000,"Alta","Muy Alta")))))</f>
        <v/>
      </c>
      <c r="K52" s="221" t="str">
        <f t="shared" ref="K52" si="46">IF(J52="","",IF(J52="Muy Baja",0.2,IF(J52="Baja",0.4,IF(J52="Media",0.6,IF(J52="Alta",0.8,IF(J52="Muy Alta",1,))))))</f>
        <v/>
      </c>
      <c r="L52" s="242"/>
      <c r="M52" s="221">
        <f ca="1">IF(NOT(ISERROR(MATCH(L52,'Tabla Impacto'!$B$221:$B$223,0))),'Tabla Impacto'!$F$223&amp;"Por favor no seleccionar los criterios de impacto(Afectación Económica o presupuestal y Pérdida Reputacional)",L52)</f>
        <v>0</v>
      </c>
      <c r="N52" s="239" t="str">
        <f ca="1">IF(OR(M52='Tabla Impacto'!$C$11,M52='Tabla Impacto'!$D$11),"Leve",IF(OR(M52='Tabla Impacto'!$C$12,M52='Tabla Impacto'!$D$12),"Menor",IF(OR(M52='Tabla Impacto'!$C$13,M52='Tabla Impacto'!$D$13),"Moderado",IF(OR(M52='Tabla Impacto'!$C$14,M52='Tabla Impacto'!$D$14),"Mayor",IF(OR(M52='Tabla Impacto'!$C$15,M52='Tabla Impacto'!$D$15),"Catastrófico","")))))</f>
        <v/>
      </c>
      <c r="O52" s="221" t="str">
        <f t="shared" ref="O52" ca="1" si="47">IF(N52="","",IF(N52="Leve",0.2,IF(N52="Menor",0.4,IF(N52="Moderado",0.6,IF(N52="Mayor",0.8,IF(N52="Catastrófico",1,))))))</f>
        <v/>
      </c>
      <c r="P52" s="224" t="str">
        <f t="shared" ref="P52" ca="1" si="48">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5">
        <v>1</v>
      </c>
      <c r="R52" s="106"/>
      <c r="S52" s="107" t="str">
        <f>IF(OR(T52="Preventivo",T52="Detectivo"),"Probabilidad",IF(T52="Correctivo","Impacto",""))</f>
        <v/>
      </c>
      <c r="T52" s="108"/>
      <c r="U52" s="108"/>
      <c r="V52" s="109" t="str">
        <f>IF(AND(T52="Preventivo",U52="Automático"),"50%",IF(AND(T52="Preventivo",U52="Manual"),"40%",IF(AND(T52="Detectivo",U52="Automático"),"40%",IF(AND(T52="Detectivo",U52="Manual"),"30%",IF(AND(T52="Correctivo",U52="Automático"),"35%",IF(AND(T52="Correctivo",U52="Manual"),"25%",""))))))</f>
        <v/>
      </c>
      <c r="W52" s="108"/>
      <c r="X52" s="108"/>
      <c r="Y52" s="108"/>
      <c r="Z52" s="110" t="str">
        <f>IFERROR(IF(S52="Probabilidad",(K52-(+K52*V52)),IF(S52="Impacto",K52,"")),"")</f>
        <v/>
      </c>
      <c r="AA52" s="111" t="str">
        <f>IFERROR(IF(Z52="","",IF(Z52&lt;=0.2,"Muy Baja",IF(Z52&lt;=0.4,"Baja",IF(Z52&lt;=0.6,"Media",IF(Z52&lt;=0.8,"Alta","Muy Alta"))))),"")</f>
        <v/>
      </c>
      <c r="AB52" s="112" t="str">
        <f>+Z52</f>
        <v/>
      </c>
      <c r="AC52" s="111" t="str">
        <f>IFERROR(IF(AD52="","",IF(AD52&lt;=0.2,"Leve",IF(AD52&lt;=0.4,"Menor",IF(AD52&lt;=0.6,"Moderado",IF(AD52&lt;=0.8,"Mayor","Catastrófico"))))),"")</f>
        <v/>
      </c>
      <c r="AD52" s="112" t="str">
        <f>IFERROR(IF(S52="Impacto",(O52-(+O52*V52)),IF(S52="Probabilidad",O52,"")),"")</f>
        <v/>
      </c>
      <c r="AE52" s="113"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4"/>
      <c r="AG52" s="115"/>
      <c r="AH52" s="116"/>
      <c r="AI52" s="117"/>
      <c r="AJ52" s="117"/>
      <c r="AK52" s="115"/>
      <c r="AL52" s="11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x14ac:dyDescent="0.3">
      <c r="A53" s="228"/>
      <c r="B53" s="231"/>
      <c r="C53" s="231"/>
      <c r="D53" s="231"/>
      <c r="E53" s="129"/>
      <c r="F53" s="234"/>
      <c r="G53" s="132"/>
      <c r="H53" s="231"/>
      <c r="I53" s="237"/>
      <c r="J53" s="240"/>
      <c r="K53" s="222"/>
      <c r="L53" s="243"/>
      <c r="M53" s="222">
        <f ca="1">IF(NOT(ISERROR(MATCH(L53,_xlfn.ANCHORARRAY(F64),0))),K66&amp;"Por favor no seleccionar los criterios de impacto",L53)</f>
        <v>0</v>
      </c>
      <c r="N53" s="240"/>
      <c r="O53" s="222"/>
      <c r="P53" s="225"/>
      <c r="Q53" s="105">
        <v>2</v>
      </c>
      <c r="R53" s="106"/>
      <c r="S53" s="107" t="str">
        <f>IF(OR(T53="Preventivo",T53="Detectivo"),"Probabilidad",IF(T53="Correctivo","Impacto",""))</f>
        <v/>
      </c>
      <c r="T53" s="108"/>
      <c r="U53" s="108"/>
      <c r="V53" s="109" t="str">
        <f t="shared" ref="V53:V57" si="49">IF(AND(T53="Preventivo",U53="Automático"),"50%",IF(AND(T53="Preventivo",U53="Manual"),"40%",IF(AND(T53="Detectivo",U53="Automático"),"40%",IF(AND(T53="Detectivo",U53="Manual"),"30%",IF(AND(T53="Correctivo",U53="Automático"),"35%",IF(AND(T53="Correctivo",U53="Manual"),"25%",""))))))</f>
        <v/>
      </c>
      <c r="W53" s="108"/>
      <c r="X53" s="108"/>
      <c r="Y53" s="108"/>
      <c r="Z53" s="110" t="str">
        <f>IFERROR(IF(AND(S52="Probabilidad",S53="Probabilidad"),(AB52-(+AB52*V53)),IF(S53="Probabilidad",(K52-(+K52*V53)),IF(S53="Impacto",AB52,""))),"")</f>
        <v/>
      </c>
      <c r="AA53" s="111" t="str">
        <f t="shared" ref="AA53:AA69" si="50">IFERROR(IF(Z53="","",IF(Z53&lt;=0.2,"Muy Baja",IF(Z53&lt;=0.4,"Baja",IF(Z53&lt;=0.6,"Media",IF(Z53&lt;=0.8,"Alta","Muy Alta"))))),"")</f>
        <v/>
      </c>
      <c r="AB53" s="112" t="str">
        <f t="shared" ref="AB53:AB57" si="51">+Z53</f>
        <v/>
      </c>
      <c r="AC53" s="111" t="str">
        <f t="shared" ref="AC53:AC69" si="52">IFERROR(IF(AD53="","",IF(AD53&lt;=0.2,"Leve",IF(AD53&lt;=0.4,"Menor",IF(AD53&lt;=0.6,"Moderado",IF(AD53&lt;=0.8,"Mayor","Catastrófico"))))),"")</f>
        <v/>
      </c>
      <c r="AD53" s="112" t="str">
        <f>IFERROR(IF(AND(S52="Impacto",S53="Impacto"),(AD52-(+AD52*V53)),IF(S53="Impacto",(O52-(+O52*V53)),IF(S53="Probabilidad",AD52,""))),"")</f>
        <v/>
      </c>
      <c r="AE53" s="113" t="str">
        <f t="shared" ref="AE53:AE54" si="53">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14"/>
      <c r="AG53" s="115"/>
      <c r="AH53" s="116"/>
      <c r="AI53" s="117"/>
      <c r="AJ53" s="117"/>
      <c r="AK53" s="115"/>
      <c r="AL53" s="11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x14ac:dyDescent="0.3">
      <c r="A54" s="228"/>
      <c r="B54" s="231"/>
      <c r="C54" s="231"/>
      <c r="D54" s="231"/>
      <c r="E54" s="129"/>
      <c r="F54" s="234"/>
      <c r="G54" s="132"/>
      <c r="H54" s="231"/>
      <c r="I54" s="237"/>
      <c r="J54" s="240"/>
      <c r="K54" s="222"/>
      <c r="L54" s="243"/>
      <c r="M54" s="222">
        <f ca="1">IF(NOT(ISERROR(MATCH(L54,_xlfn.ANCHORARRAY(F65),0))),K67&amp;"Por favor no seleccionar los criterios de impacto",L54)</f>
        <v>0</v>
      </c>
      <c r="N54" s="240"/>
      <c r="O54" s="222"/>
      <c r="P54" s="225"/>
      <c r="Q54" s="105">
        <v>3</v>
      </c>
      <c r="R54" s="118"/>
      <c r="S54" s="107" t="str">
        <f>IF(OR(T54="Preventivo",T54="Detectivo"),"Probabilidad",IF(T54="Correctivo","Impacto",""))</f>
        <v/>
      </c>
      <c r="T54" s="108"/>
      <c r="U54" s="108"/>
      <c r="V54" s="109" t="str">
        <f t="shared" si="49"/>
        <v/>
      </c>
      <c r="W54" s="108"/>
      <c r="X54" s="108"/>
      <c r="Y54" s="108"/>
      <c r="Z54" s="110" t="str">
        <f>IFERROR(IF(AND(S53="Probabilidad",S54="Probabilidad"),(AB53-(+AB53*V54)),IF(AND(S53="Impacto",S54="Probabilidad"),(AB52-(+AB52*V54)),IF(S54="Impacto",AB53,""))),"")</f>
        <v/>
      </c>
      <c r="AA54" s="111" t="str">
        <f t="shared" si="50"/>
        <v/>
      </c>
      <c r="AB54" s="112" t="str">
        <f t="shared" si="51"/>
        <v/>
      </c>
      <c r="AC54" s="111" t="str">
        <f t="shared" si="52"/>
        <v/>
      </c>
      <c r="AD54" s="112" t="str">
        <f>IFERROR(IF(AND(S53="Impacto",S54="Impacto"),(AD53-(+AD53*V54)),IF(AND(S53="Probabilidad",S54="Impacto"),(AD52-(+AD52*V54)),IF(S54="Probabilidad",AD53,""))),"")</f>
        <v/>
      </c>
      <c r="AE54" s="113" t="str">
        <f t="shared" si="53"/>
        <v/>
      </c>
      <c r="AF54" s="114"/>
      <c r="AG54" s="115"/>
      <c r="AH54" s="116"/>
      <c r="AI54" s="117"/>
      <c r="AJ54" s="117"/>
      <c r="AK54" s="115"/>
      <c r="AL54" s="11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x14ac:dyDescent="0.3">
      <c r="A55" s="228"/>
      <c r="B55" s="231"/>
      <c r="C55" s="231"/>
      <c r="D55" s="231"/>
      <c r="E55" s="129"/>
      <c r="F55" s="234"/>
      <c r="G55" s="132"/>
      <c r="H55" s="231"/>
      <c r="I55" s="237"/>
      <c r="J55" s="240"/>
      <c r="K55" s="222"/>
      <c r="L55" s="243"/>
      <c r="M55" s="222">
        <f ca="1">IF(NOT(ISERROR(MATCH(L55,_xlfn.ANCHORARRAY(F66),0))),K68&amp;"Por favor no seleccionar los criterios de impacto",L55)</f>
        <v>0</v>
      </c>
      <c r="N55" s="240"/>
      <c r="O55" s="222"/>
      <c r="P55" s="225"/>
      <c r="Q55" s="105">
        <v>4</v>
      </c>
      <c r="R55" s="106"/>
      <c r="S55" s="107" t="str">
        <f t="shared" ref="S55:S57" si="54">IF(OR(T55="Preventivo",T55="Detectivo"),"Probabilidad",IF(T55="Correctivo","Impacto",""))</f>
        <v/>
      </c>
      <c r="T55" s="108"/>
      <c r="U55" s="108"/>
      <c r="V55" s="109" t="str">
        <f t="shared" si="49"/>
        <v/>
      </c>
      <c r="W55" s="108"/>
      <c r="X55" s="108"/>
      <c r="Y55" s="108"/>
      <c r="Z55" s="110" t="str">
        <f t="shared" ref="Z55:Z57" si="55">IFERROR(IF(AND(S54="Probabilidad",S55="Probabilidad"),(AB54-(+AB54*V55)),IF(AND(S54="Impacto",S55="Probabilidad"),(AB53-(+AB53*V55)),IF(S55="Impacto",AB54,""))),"")</f>
        <v/>
      </c>
      <c r="AA55" s="111" t="str">
        <f t="shared" si="50"/>
        <v/>
      </c>
      <c r="AB55" s="112" t="str">
        <f t="shared" si="51"/>
        <v/>
      </c>
      <c r="AC55" s="111" t="str">
        <f t="shared" si="52"/>
        <v/>
      </c>
      <c r="AD55" s="112" t="str">
        <f t="shared" ref="AD55:AD57" si="56">IFERROR(IF(AND(S54="Impacto",S55="Impacto"),(AD54-(+AD54*V55)),IF(AND(S54="Probabilidad",S55="Impacto"),(AD53-(+AD53*V55)),IF(S55="Probabilidad",AD54,""))),"")</f>
        <v/>
      </c>
      <c r="AE55" s="113"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4"/>
      <c r="AG55" s="115"/>
      <c r="AH55" s="116"/>
      <c r="AI55" s="117"/>
      <c r="AJ55" s="117"/>
      <c r="AK55" s="115"/>
      <c r="AL55" s="11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x14ac:dyDescent="0.3">
      <c r="A56" s="228"/>
      <c r="B56" s="231"/>
      <c r="C56" s="231"/>
      <c r="D56" s="231"/>
      <c r="E56" s="129"/>
      <c r="F56" s="234"/>
      <c r="G56" s="132"/>
      <c r="H56" s="231"/>
      <c r="I56" s="237"/>
      <c r="J56" s="240"/>
      <c r="K56" s="222"/>
      <c r="L56" s="243"/>
      <c r="M56" s="222">
        <f ca="1">IF(NOT(ISERROR(MATCH(L56,_xlfn.ANCHORARRAY(F67),0))),K69&amp;"Por favor no seleccionar los criterios de impacto",L56)</f>
        <v>0</v>
      </c>
      <c r="N56" s="240"/>
      <c r="O56" s="222"/>
      <c r="P56" s="225"/>
      <c r="Q56" s="105">
        <v>5</v>
      </c>
      <c r="R56" s="106"/>
      <c r="S56" s="107" t="str">
        <f t="shared" si="54"/>
        <v/>
      </c>
      <c r="T56" s="108"/>
      <c r="U56" s="108"/>
      <c r="V56" s="109" t="str">
        <f t="shared" si="49"/>
        <v/>
      </c>
      <c r="W56" s="108"/>
      <c r="X56" s="108"/>
      <c r="Y56" s="108"/>
      <c r="Z56" s="110" t="str">
        <f t="shared" si="55"/>
        <v/>
      </c>
      <c r="AA56" s="111" t="str">
        <f t="shared" si="50"/>
        <v/>
      </c>
      <c r="AB56" s="112" t="str">
        <f t="shared" si="51"/>
        <v/>
      </c>
      <c r="AC56" s="111" t="str">
        <f t="shared" si="52"/>
        <v/>
      </c>
      <c r="AD56" s="112" t="str">
        <f t="shared" si="56"/>
        <v/>
      </c>
      <c r="AE56" s="113" t="str">
        <f t="shared" ref="AE56:AE57" si="57">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14"/>
      <c r="AG56" s="115"/>
      <c r="AH56" s="116"/>
      <c r="AI56" s="117"/>
      <c r="AJ56" s="117"/>
      <c r="AK56" s="115"/>
      <c r="AL56" s="11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x14ac:dyDescent="0.3">
      <c r="A57" s="229"/>
      <c r="B57" s="232"/>
      <c r="C57" s="232"/>
      <c r="D57" s="232"/>
      <c r="E57" s="130"/>
      <c r="F57" s="235"/>
      <c r="G57" s="133"/>
      <c r="H57" s="232"/>
      <c r="I57" s="238"/>
      <c r="J57" s="241"/>
      <c r="K57" s="223"/>
      <c r="L57" s="244"/>
      <c r="M57" s="223">
        <f ca="1">IF(NOT(ISERROR(MATCH(L57,_xlfn.ANCHORARRAY(F68),0))),K70&amp;"Por favor no seleccionar los criterios de impacto",L57)</f>
        <v>0</v>
      </c>
      <c r="N57" s="241"/>
      <c r="O57" s="223"/>
      <c r="P57" s="226"/>
      <c r="Q57" s="105">
        <v>6</v>
      </c>
      <c r="R57" s="106"/>
      <c r="S57" s="107" t="str">
        <f t="shared" si="54"/>
        <v/>
      </c>
      <c r="T57" s="108"/>
      <c r="U57" s="108"/>
      <c r="V57" s="109" t="str">
        <f t="shared" si="49"/>
        <v/>
      </c>
      <c r="W57" s="108"/>
      <c r="X57" s="108"/>
      <c r="Y57" s="108"/>
      <c r="Z57" s="110" t="str">
        <f t="shared" si="55"/>
        <v/>
      </c>
      <c r="AA57" s="111" t="str">
        <f t="shared" si="50"/>
        <v/>
      </c>
      <c r="AB57" s="112" t="str">
        <f t="shared" si="51"/>
        <v/>
      </c>
      <c r="AC57" s="111" t="str">
        <f t="shared" si="52"/>
        <v/>
      </c>
      <c r="AD57" s="112" t="str">
        <f t="shared" si="56"/>
        <v/>
      </c>
      <c r="AE57" s="113" t="str">
        <f t="shared" si="57"/>
        <v/>
      </c>
      <c r="AF57" s="114"/>
      <c r="AG57" s="115"/>
      <c r="AH57" s="116"/>
      <c r="AI57" s="117"/>
      <c r="AJ57" s="117"/>
      <c r="AK57" s="115"/>
      <c r="AL57" s="11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x14ac:dyDescent="0.3">
      <c r="A58" s="227">
        <v>9</v>
      </c>
      <c r="B58" s="230"/>
      <c r="C58" s="230"/>
      <c r="D58" s="230"/>
      <c r="E58" s="128"/>
      <c r="F58" s="233"/>
      <c r="G58" s="131"/>
      <c r="H58" s="230"/>
      <c r="I58" s="236"/>
      <c r="J58" s="239" t="str">
        <f t="shared" ref="J58" si="58">IF(I58&lt;=0,"",IF(I58&lt;=2,"Muy Baja",IF(I58&lt;=24,"Baja",IF(I58&lt;=500,"Media",IF(I58&lt;=5000,"Alta","Muy Alta")))))</f>
        <v/>
      </c>
      <c r="K58" s="221" t="str">
        <f t="shared" ref="K58" si="59">IF(J58="","",IF(J58="Muy Baja",0.2,IF(J58="Baja",0.4,IF(J58="Media",0.6,IF(J58="Alta",0.8,IF(J58="Muy Alta",1,))))))</f>
        <v/>
      </c>
      <c r="L58" s="242"/>
      <c r="M58" s="221">
        <f ca="1">IF(NOT(ISERROR(MATCH(L58,'Tabla Impacto'!$B$221:$B$223,0))),'Tabla Impacto'!$F$223&amp;"Por favor no seleccionar los criterios de impacto(Afectación Económica o presupuestal y Pérdida Reputacional)",L58)</f>
        <v>0</v>
      </c>
      <c r="N58" s="239" t="str">
        <f ca="1">IF(OR(M58='Tabla Impacto'!$C$11,M58='Tabla Impacto'!$D$11),"Leve",IF(OR(M58='Tabla Impacto'!$C$12,M58='Tabla Impacto'!$D$12),"Menor",IF(OR(M58='Tabla Impacto'!$C$13,M58='Tabla Impacto'!$D$13),"Moderado",IF(OR(M58='Tabla Impacto'!$C$14,M58='Tabla Impacto'!$D$14),"Mayor",IF(OR(M58='Tabla Impacto'!$C$15,M58='Tabla Impacto'!$D$15),"Catastrófico","")))))</f>
        <v/>
      </c>
      <c r="O58" s="221" t="str">
        <f t="shared" ref="O58" ca="1" si="60">IF(N58="","",IF(N58="Leve",0.2,IF(N58="Menor",0.4,IF(N58="Moderado",0.6,IF(N58="Mayor",0.8,IF(N58="Catastrófico",1,))))))</f>
        <v/>
      </c>
      <c r="P58" s="224" t="str">
        <f t="shared" ref="P58" ca="1" si="61">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5">
        <v>1</v>
      </c>
      <c r="R58" s="106"/>
      <c r="S58" s="107" t="str">
        <f>IF(OR(T58="Preventivo",T58="Detectivo"),"Probabilidad",IF(T58="Correctivo","Impacto",""))</f>
        <v/>
      </c>
      <c r="T58" s="108"/>
      <c r="U58" s="108"/>
      <c r="V58" s="109" t="str">
        <f>IF(AND(T58="Preventivo",U58="Automático"),"50%",IF(AND(T58="Preventivo",U58="Manual"),"40%",IF(AND(T58="Detectivo",U58="Automático"),"40%",IF(AND(T58="Detectivo",U58="Manual"),"30%",IF(AND(T58="Correctivo",U58="Automático"),"35%",IF(AND(T58="Correctivo",U58="Manual"),"25%",""))))))</f>
        <v/>
      </c>
      <c r="W58" s="108"/>
      <c r="X58" s="108"/>
      <c r="Y58" s="108"/>
      <c r="Z58" s="110" t="str">
        <f>IFERROR(IF(S58="Probabilidad",(K58-(+K58*V58)),IF(S58="Impacto",K58,"")),"")</f>
        <v/>
      </c>
      <c r="AA58" s="111" t="str">
        <f>IFERROR(IF(Z58="","",IF(Z58&lt;=0.2,"Muy Baja",IF(Z58&lt;=0.4,"Baja",IF(Z58&lt;=0.6,"Media",IF(Z58&lt;=0.8,"Alta","Muy Alta"))))),"")</f>
        <v/>
      </c>
      <c r="AB58" s="112" t="str">
        <f>+Z58</f>
        <v/>
      </c>
      <c r="AC58" s="111" t="str">
        <f>IFERROR(IF(AD58="","",IF(AD58&lt;=0.2,"Leve",IF(AD58&lt;=0.4,"Menor",IF(AD58&lt;=0.6,"Moderado",IF(AD58&lt;=0.8,"Mayor","Catastrófico"))))),"")</f>
        <v/>
      </c>
      <c r="AD58" s="112" t="str">
        <f>IFERROR(IF(S58="Impacto",(O58-(+O58*V58)),IF(S58="Probabilidad",O58,"")),"")</f>
        <v/>
      </c>
      <c r="AE58" s="113"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4"/>
      <c r="AG58" s="115"/>
      <c r="AH58" s="116"/>
      <c r="AI58" s="117"/>
      <c r="AJ58" s="117"/>
      <c r="AK58" s="115"/>
      <c r="AL58" s="11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x14ac:dyDescent="0.3">
      <c r="A59" s="228"/>
      <c r="B59" s="231"/>
      <c r="C59" s="231"/>
      <c r="D59" s="231"/>
      <c r="E59" s="129"/>
      <c r="F59" s="234"/>
      <c r="G59" s="132"/>
      <c r="H59" s="231"/>
      <c r="I59" s="237"/>
      <c r="J59" s="240"/>
      <c r="K59" s="222"/>
      <c r="L59" s="243"/>
      <c r="M59" s="222">
        <f ca="1">IF(NOT(ISERROR(MATCH(L59,_xlfn.ANCHORARRAY(F70),0))),K72&amp;"Por favor no seleccionar los criterios de impacto",L59)</f>
        <v>0</v>
      </c>
      <c r="N59" s="240"/>
      <c r="O59" s="222"/>
      <c r="P59" s="225"/>
      <c r="Q59" s="105">
        <v>2</v>
      </c>
      <c r="R59" s="106"/>
      <c r="S59" s="107" t="str">
        <f>IF(OR(T59="Preventivo",T59="Detectivo"),"Probabilidad",IF(T59="Correctivo","Impacto",""))</f>
        <v/>
      </c>
      <c r="T59" s="108"/>
      <c r="U59" s="108"/>
      <c r="V59" s="109" t="str">
        <f t="shared" ref="V59:V63" si="62">IF(AND(T59="Preventivo",U59="Automático"),"50%",IF(AND(T59="Preventivo",U59="Manual"),"40%",IF(AND(T59="Detectivo",U59="Automático"),"40%",IF(AND(T59="Detectivo",U59="Manual"),"30%",IF(AND(T59="Correctivo",U59="Automático"),"35%",IF(AND(T59="Correctivo",U59="Manual"),"25%",""))))))</f>
        <v/>
      </c>
      <c r="W59" s="108"/>
      <c r="X59" s="108"/>
      <c r="Y59" s="108"/>
      <c r="Z59" s="110" t="str">
        <f>IFERROR(IF(AND(S58="Probabilidad",S59="Probabilidad"),(AB58-(+AB58*V59)),IF(S59="Probabilidad",(K58-(+K58*V59)),IF(S59="Impacto",AB58,""))),"")</f>
        <v/>
      </c>
      <c r="AA59" s="111" t="str">
        <f t="shared" si="50"/>
        <v/>
      </c>
      <c r="AB59" s="112" t="str">
        <f t="shared" ref="AB59:AB63" si="63">+Z59</f>
        <v/>
      </c>
      <c r="AC59" s="111" t="str">
        <f t="shared" si="52"/>
        <v/>
      </c>
      <c r="AD59" s="112" t="str">
        <f>IFERROR(IF(AND(S58="Impacto",S59="Impacto"),(AD58-(+AD58*V59)),IF(S59="Impacto",(O58-(+O58*V59)),IF(S59="Probabilidad",AD58,""))),"")</f>
        <v/>
      </c>
      <c r="AE59" s="113" t="str">
        <f t="shared" ref="AE59:AE60" si="64">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14"/>
      <c r="AG59" s="115"/>
      <c r="AH59" s="116"/>
      <c r="AI59" s="117"/>
      <c r="AJ59" s="117"/>
      <c r="AK59" s="115"/>
      <c r="AL59" s="11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x14ac:dyDescent="0.3">
      <c r="A60" s="228"/>
      <c r="B60" s="231"/>
      <c r="C60" s="231"/>
      <c r="D60" s="231"/>
      <c r="E60" s="129"/>
      <c r="F60" s="234"/>
      <c r="G60" s="132"/>
      <c r="H60" s="231"/>
      <c r="I60" s="237"/>
      <c r="J60" s="240"/>
      <c r="K60" s="222"/>
      <c r="L60" s="243"/>
      <c r="M60" s="222">
        <f ca="1">IF(NOT(ISERROR(MATCH(L60,_xlfn.ANCHORARRAY(F71),0))),K73&amp;"Por favor no seleccionar los criterios de impacto",L60)</f>
        <v>0</v>
      </c>
      <c r="N60" s="240"/>
      <c r="O60" s="222"/>
      <c r="P60" s="225"/>
      <c r="Q60" s="105">
        <v>3</v>
      </c>
      <c r="R60" s="118"/>
      <c r="S60" s="107" t="str">
        <f>IF(OR(T60="Preventivo",T60="Detectivo"),"Probabilidad",IF(T60="Correctivo","Impacto",""))</f>
        <v/>
      </c>
      <c r="T60" s="108"/>
      <c r="U60" s="108"/>
      <c r="V60" s="109" t="str">
        <f t="shared" si="62"/>
        <v/>
      </c>
      <c r="W60" s="108"/>
      <c r="X60" s="108"/>
      <c r="Y60" s="108"/>
      <c r="Z60" s="110" t="str">
        <f>IFERROR(IF(AND(S59="Probabilidad",S60="Probabilidad"),(AB59-(+AB59*V60)),IF(AND(S59="Impacto",S60="Probabilidad"),(AB58-(+AB58*V60)),IF(S60="Impacto",AB59,""))),"")</f>
        <v/>
      </c>
      <c r="AA60" s="111" t="str">
        <f t="shared" si="50"/>
        <v/>
      </c>
      <c r="AB60" s="112" t="str">
        <f t="shared" si="63"/>
        <v/>
      </c>
      <c r="AC60" s="111" t="str">
        <f t="shared" si="52"/>
        <v/>
      </c>
      <c r="AD60" s="112" t="str">
        <f>IFERROR(IF(AND(S59="Impacto",S60="Impacto"),(AD59-(+AD59*V60)),IF(AND(S59="Probabilidad",S60="Impacto"),(AD58-(+AD58*V60)),IF(S60="Probabilidad",AD59,""))),"")</f>
        <v/>
      </c>
      <c r="AE60" s="113" t="str">
        <f t="shared" si="64"/>
        <v/>
      </c>
      <c r="AF60" s="114"/>
      <c r="AG60" s="115"/>
      <c r="AH60" s="116"/>
      <c r="AI60" s="117"/>
      <c r="AJ60" s="117"/>
      <c r="AK60" s="115"/>
      <c r="AL60" s="11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x14ac:dyDescent="0.3">
      <c r="A61" s="228"/>
      <c r="B61" s="231"/>
      <c r="C61" s="231"/>
      <c r="D61" s="231"/>
      <c r="E61" s="129"/>
      <c r="F61" s="234"/>
      <c r="G61" s="132"/>
      <c r="H61" s="231"/>
      <c r="I61" s="237"/>
      <c r="J61" s="240"/>
      <c r="K61" s="222"/>
      <c r="L61" s="243"/>
      <c r="M61" s="222">
        <f ca="1">IF(NOT(ISERROR(MATCH(L61,_xlfn.ANCHORARRAY(F72),0))),K74&amp;"Por favor no seleccionar los criterios de impacto",L61)</f>
        <v>0</v>
      </c>
      <c r="N61" s="240"/>
      <c r="O61" s="222"/>
      <c r="P61" s="225"/>
      <c r="Q61" s="105">
        <v>4</v>
      </c>
      <c r="R61" s="106"/>
      <c r="S61" s="107" t="str">
        <f t="shared" ref="S61:S63" si="65">IF(OR(T61="Preventivo",T61="Detectivo"),"Probabilidad",IF(T61="Correctivo","Impacto",""))</f>
        <v/>
      </c>
      <c r="T61" s="108"/>
      <c r="U61" s="108"/>
      <c r="V61" s="109" t="str">
        <f t="shared" si="62"/>
        <v/>
      </c>
      <c r="W61" s="108"/>
      <c r="X61" s="108"/>
      <c r="Y61" s="108"/>
      <c r="Z61" s="110" t="str">
        <f t="shared" ref="Z61:Z63" si="66">IFERROR(IF(AND(S60="Probabilidad",S61="Probabilidad"),(AB60-(+AB60*V61)),IF(AND(S60="Impacto",S61="Probabilidad"),(AB59-(+AB59*V61)),IF(S61="Impacto",AB60,""))),"")</f>
        <v/>
      </c>
      <c r="AA61" s="111" t="str">
        <f t="shared" si="50"/>
        <v/>
      </c>
      <c r="AB61" s="112" t="str">
        <f t="shared" si="63"/>
        <v/>
      </c>
      <c r="AC61" s="111" t="str">
        <f t="shared" si="52"/>
        <v/>
      </c>
      <c r="AD61" s="112" t="str">
        <f t="shared" ref="AD61:AD63" si="67">IFERROR(IF(AND(S60="Impacto",S61="Impacto"),(AD60-(+AD60*V61)),IF(AND(S60="Probabilidad",S61="Impacto"),(AD59-(+AD59*V61)),IF(S61="Probabilidad",AD60,""))),"")</f>
        <v/>
      </c>
      <c r="AE61" s="113"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4"/>
      <c r="AG61" s="115"/>
      <c r="AH61" s="116"/>
      <c r="AI61" s="117"/>
      <c r="AJ61" s="117"/>
      <c r="AK61" s="115"/>
      <c r="AL61" s="116"/>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x14ac:dyDescent="0.3">
      <c r="A62" s="228"/>
      <c r="B62" s="231"/>
      <c r="C62" s="231"/>
      <c r="D62" s="231"/>
      <c r="E62" s="129"/>
      <c r="F62" s="234"/>
      <c r="G62" s="132"/>
      <c r="H62" s="231"/>
      <c r="I62" s="237"/>
      <c r="J62" s="240"/>
      <c r="K62" s="222"/>
      <c r="L62" s="243"/>
      <c r="M62" s="222">
        <f ca="1">IF(NOT(ISERROR(MATCH(L62,_xlfn.ANCHORARRAY(F73),0))),K75&amp;"Por favor no seleccionar los criterios de impacto",L62)</f>
        <v>0</v>
      </c>
      <c r="N62" s="240"/>
      <c r="O62" s="222"/>
      <c r="P62" s="225"/>
      <c r="Q62" s="105">
        <v>5</v>
      </c>
      <c r="R62" s="106"/>
      <c r="S62" s="107" t="str">
        <f t="shared" si="65"/>
        <v/>
      </c>
      <c r="T62" s="108"/>
      <c r="U62" s="108"/>
      <c r="V62" s="109" t="str">
        <f t="shared" si="62"/>
        <v/>
      </c>
      <c r="W62" s="108"/>
      <c r="X62" s="108"/>
      <c r="Y62" s="108"/>
      <c r="Z62" s="110" t="str">
        <f t="shared" si="66"/>
        <v/>
      </c>
      <c r="AA62" s="111" t="str">
        <f t="shared" si="50"/>
        <v/>
      </c>
      <c r="AB62" s="112" t="str">
        <f t="shared" si="63"/>
        <v/>
      </c>
      <c r="AC62" s="111" t="str">
        <f t="shared" si="52"/>
        <v/>
      </c>
      <c r="AD62" s="112" t="str">
        <f t="shared" si="67"/>
        <v/>
      </c>
      <c r="AE62" s="113" t="str">
        <f t="shared" ref="AE62:AE63" si="68">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14"/>
      <c r="AG62" s="115"/>
      <c r="AH62" s="116"/>
      <c r="AI62" s="117"/>
      <c r="AJ62" s="117"/>
      <c r="AK62" s="115"/>
      <c r="AL62" s="116"/>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x14ac:dyDescent="0.3">
      <c r="A63" s="229"/>
      <c r="B63" s="232"/>
      <c r="C63" s="232"/>
      <c r="D63" s="232"/>
      <c r="E63" s="130"/>
      <c r="F63" s="235"/>
      <c r="G63" s="133"/>
      <c r="H63" s="232"/>
      <c r="I63" s="238"/>
      <c r="J63" s="241"/>
      <c r="K63" s="223"/>
      <c r="L63" s="244"/>
      <c r="M63" s="223">
        <f ca="1">IF(NOT(ISERROR(MATCH(L63,_xlfn.ANCHORARRAY(F74),0))),K76&amp;"Por favor no seleccionar los criterios de impacto",L63)</f>
        <v>0</v>
      </c>
      <c r="N63" s="241"/>
      <c r="O63" s="223"/>
      <c r="P63" s="226"/>
      <c r="Q63" s="105">
        <v>6</v>
      </c>
      <c r="R63" s="106"/>
      <c r="S63" s="107" t="str">
        <f t="shared" si="65"/>
        <v/>
      </c>
      <c r="T63" s="108"/>
      <c r="U63" s="108"/>
      <c r="V63" s="109" t="str">
        <f t="shared" si="62"/>
        <v/>
      </c>
      <c r="W63" s="108"/>
      <c r="X63" s="108"/>
      <c r="Y63" s="108"/>
      <c r="Z63" s="110" t="str">
        <f t="shared" si="66"/>
        <v/>
      </c>
      <c r="AA63" s="111" t="str">
        <f t="shared" si="50"/>
        <v/>
      </c>
      <c r="AB63" s="112" t="str">
        <f t="shared" si="63"/>
        <v/>
      </c>
      <c r="AC63" s="111" t="str">
        <f t="shared" si="52"/>
        <v/>
      </c>
      <c r="AD63" s="112" t="str">
        <f t="shared" si="67"/>
        <v/>
      </c>
      <c r="AE63" s="113" t="str">
        <f t="shared" si="68"/>
        <v/>
      </c>
      <c r="AF63" s="114"/>
      <c r="AG63" s="115"/>
      <c r="AH63" s="116"/>
      <c r="AI63" s="117"/>
      <c r="AJ63" s="117"/>
      <c r="AK63" s="115"/>
      <c r="AL63" s="116"/>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x14ac:dyDescent="0.3">
      <c r="A64" s="227">
        <v>10</v>
      </c>
      <c r="B64" s="230"/>
      <c r="C64" s="230"/>
      <c r="D64" s="230"/>
      <c r="E64" s="128"/>
      <c r="F64" s="233"/>
      <c r="G64" s="131"/>
      <c r="H64" s="230"/>
      <c r="I64" s="236"/>
      <c r="J64" s="239" t="str">
        <f t="shared" ref="J64" si="69">IF(I64&lt;=0,"",IF(I64&lt;=2,"Muy Baja",IF(I64&lt;=24,"Baja",IF(I64&lt;=500,"Media",IF(I64&lt;=5000,"Alta","Muy Alta")))))</f>
        <v/>
      </c>
      <c r="K64" s="221" t="str">
        <f t="shared" ref="K64" si="70">IF(J64="","",IF(J64="Muy Baja",0.2,IF(J64="Baja",0.4,IF(J64="Media",0.6,IF(J64="Alta",0.8,IF(J64="Muy Alta",1,))))))</f>
        <v/>
      </c>
      <c r="L64" s="242"/>
      <c r="M64" s="221">
        <f ca="1">IF(NOT(ISERROR(MATCH(L64,'Tabla Impacto'!$B$221:$B$223,0))),'Tabla Impacto'!$F$223&amp;"Por favor no seleccionar los criterios de impacto(Afectación Económica o presupuestal y Pérdida Reputacional)",L64)</f>
        <v>0</v>
      </c>
      <c r="N64" s="239" t="str">
        <f ca="1">IF(OR(M64='Tabla Impacto'!$C$11,M64='Tabla Impacto'!$D$11),"Leve",IF(OR(M64='Tabla Impacto'!$C$12,M64='Tabla Impacto'!$D$12),"Menor",IF(OR(M64='Tabla Impacto'!$C$13,M64='Tabla Impacto'!$D$13),"Moderado",IF(OR(M64='Tabla Impacto'!$C$14,M64='Tabla Impacto'!$D$14),"Mayor",IF(OR(M64='Tabla Impacto'!$C$15,M64='Tabla Impacto'!$D$15),"Catastrófico","")))))</f>
        <v/>
      </c>
      <c r="O64" s="221" t="str">
        <f t="shared" ref="O64" ca="1" si="71">IF(N64="","",IF(N64="Leve",0.2,IF(N64="Menor",0.4,IF(N64="Moderado",0.6,IF(N64="Mayor",0.8,IF(N64="Catastrófico",1,))))))</f>
        <v/>
      </c>
      <c r="P64" s="224" t="str">
        <f t="shared" ref="P64" ca="1" si="72">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5">
        <v>1</v>
      </c>
      <c r="R64" s="106"/>
      <c r="S64" s="107" t="str">
        <f>IF(OR(T64="Preventivo",T64="Detectivo"),"Probabilidad",IF(T64="Correctivo","Impacto",""))</f>
        <v/>
      </c>
      <c r="T64" s="108"/>
      <c r="U64" s="108"/>
      <c r="V64" s="109" t="str">
        <f>IF(AND(T64="Preventivo",U64="Automático"),"50%",IF(AND(T64="Preventivo",U64="Manual"),"40%",IF(AND(T64="Detectivo",U64="Automático"),"40%",IF(AND(T64="Detectivo",U64="Manual"),"30%",IF(AND(T64="Correctivo",U64="Automático"),"35%",IF(AND(T64="Correctivo",U64="Manual"),"25%",""))))))</f>
        <v/>
      </c>
      <c r="W64" s="108"/>
      <c r="X64" s="108"/>
      <c r="Y64" s="108"/>
      <c r="Z64" s="110" t="str">
        <f>IFERROR(IF(S64="Probabilidad",(K64-(+K64*V64)),IF(S64="Impacto",K64,"")),"")</f>
        <v/>
      </c>
      <c r="AA64" s="111" t="str">
        <f>IFERROR(IF(Z64="","",IF(Z64&lt;=0.2,"Muy Baja",IF(Z64&lt;=0.4,"Baja",IF(Z64&lt;=0.6,"Media",IF(Z64&lt;=0.8,"Alta","Muy Alta"))))),"")</f>
        <v/>
      </c>
      <c r="AB64" s="112" t="str">
        <f>+Z64</f>
        <v/>
      </c>
      <c r="AC64" s="111" t="str">
        <f>IFERROR(IF(AD64="","",IF(AD64&lt;=0.2,"Leve",IF(AD64&lt;=0.4,"Menor",IF(AD64&lt;=0.6,"Moderado",IF(AD64&lt;=0.8,"Mayor","Catastrófico"))))),"")</f>
        <v/>
      </c>
      <c r="AD64" s="112" t="str">
        <f>IFERROR(IF(S64="Impacto",(O64-(+O64*V64)),IF(S64="Probabilidad",O64,"")),"")</f>
        <v/>
      </c>
      <c r="AE64" s="113"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4"/>
      <c r="AG64" s="115"/>
      <c r="AH64" s="116"/>
      <c r="AI64" s="117"/>
      <c r="AJ64" s="117"/>
      <c r="AK64" s="115"/>
      <c r="AL64" s="116"/>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x14ac:dyDescent="0.3">
      <c r="A65" s="228"/>
      <c r="B65" s="231"/>
      <c r="C65" s="231"/>
      <c r="D65" s="231"/>
      <c r="E65" s="129"/>
      <c r="F65" s="234"/>
      <c r="G65" s="132"/>
      <c r="H65" s="231"/>
      <c r="I65" s="237"/>
      <c r="J65" s="240"/>
      <c r="K65" s="222"/>
      <c r="L65" s="243"/>
      <c r="M65" s="222">
        <f ca="1">IF(NOT(ISERROR(MATCH(L65,_xlfn.ANCHORARRAY(F76),0))),K78&amp;"Por favor no seleccionar los criterios de impacto",L65)</f>
        <v>0</v>
      </c>
      <c r="N65" s="240"/>
      <c r="O65" s="222"/>
      <c r="P65" s="225"/>
      <c r="Q65" s="105">
        <v>2</v>
      </c>
      <c r="R65" s="106"/>
      <c r="S65" s="107" t="str">
        <f>IF(OR(T65="Preventivo",T65="Detectivo"),"Probabilidad",IF(T65="Correctivo","Impacto",""))</f>
        <v/>
      </c>
      <c r="T65" s="108"/>
      <c r="U65" s="108"/>
      <c r="V65" s="109" t="str">
        <f t="shared" ref="V65:V69" si="73">IF(AND(T65="Preventivo",U65="Automático"),"50%",IF(AND(T65="Preventivo",U65="Manual"),"40%",IF(AND(T65="Detectivo",U65="Automático"),"40%",IF(AND(T65="Detectivo",U65="Manual"),"30%",IF(AND(T65="Correctivo",U65="Automático"),"35%",IF(AND(T65="Correctivo",U65="Manual"),"25%",""))))))</f>
        <v/>
      </c>
      <c r="W65" s="108"/>
      <c r="X65" s="108"/>
      <c r="Y65" s="108"/>
      <c r="Z65" s="110" t="str">
        <f>IFERROR(IF(AND(S64="Probabilidad",S65="Probabilidad"),(AB64-(+AB64*V65)),IF(S65="Probabilidad",(K64-(+K64*V65)),IF(S65="Impacto",AB64,""))),"")</f>
        <v/>
      </c>
      <c r="AA65" s="111" t="str">
        <f t="shared" si="50"/>
        <v/>
      </c>
      <c r="AB65" s="112" t="str">
        <f t="shared" ref="AB65:AB69" si="74">+Z65</f>
        <v/>
      </c>
      <c r="AC65" s="111" t="str">
        <f t="shared" si="52"/>
        <v/>
      </c>
      <c r="AD65" s="112" t="str">
        <f>IFERROR(IF(AND(S64="Impacto",S65="Impacto"),(AD64-(+AD64*V65)),IF(S65="Impacto",(O64-(+O64*V65)),IF(S65="Probabilidad",AD64,""))),"")</f>
        <v/>
      </c>
      <c r="AE65" s="113" t="str">
        <f t="shared" ref="AE65:AE66" si="75">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14"/>
      <c r="AG65" s="115"/>
      <c r="AH65" s="116"/>
      <c r="AI65" s="117"/>
      <c r="AJ65" s="117"/>
      <c r="AK65" s="115"/>
      <c r="AL65" s="116"/>
    </row>
    <row r="66" spans="1:38" x14ac:dyDescent="0.3">
      <c r="A66" s="228"/>
      <c r="B66" s="231"/>
      <c r="C66" s="231"/>
      <c r="D66" s="231"/>
      <c r="E66" s="129"/>
      <c r="F66" s="234"/>
      <c r="G66" s="132"/>
      <c r="H66" s="231"/>
      <c r="I66" s="237"/>
      <c r="J66" s="240"/>
      <c r="K66" s="222"/>
      <c r="L66" s="243"/>
      <c r="M66" s="222">
        <f ca="1">IF(NOT(ISERROR(MATCH(L66,_xlfn.ANCHORARRAY(F77),0))),K79&amp;"Por favor no seleccionar los criterios de impacto",L66)</f>
        <v>0</v>
      </c>
      <c r="N66" s="240"/>
      <c r="O66" s="222"/>
      <c r="P66" s="225"/>
      <c r="Q66" s="105">
        <v>3</v>
      </c>
      <c r="R66" s="118"/>
      <c r="S66" s="107" t="str">
        <f>IF(OR(T66="Preventivo",T66="Detectivo"),"Probabilidad",IF(T66="Correctivo","Impacto",""))</f>
        <v/>
      </c>
      <c r="T66" s="108"/>
      <c r="U66" s="108"/>
      <c r="V66" s="109" t="str">
        <f t="shared" si="73"/>
        <v/>
      </c>
      <c r="W66" s="108"/>
      <c r="X66" s="108"/>
      <c r="Y66" s="108"/>
      <c r="Z66" s="110" t="str">
        <f>IFERROR(IF(AND(S65="Probabilidad",S66="Probabilidad"),(AB65-(+AB65*V66)),IF(AND(S65="Impacto",S66="Probabilidad"),(AB64-(+AB64*V66)),IF(S66="Impacto",AB65,""))),"")</f>
        <v/>
      </c>
      <c r="AA66" s="111" t="str">
        <f t="shared" si="50"/>
        <v/>
      </c>
      <c r="AB66" s="112" t="str">
        <f t="shared" si="74"/>
        <v/>
      </c>
      <c r="AC66" s="111" t="str">
        <f t="shared" si="52"/>
        <v/>
      </c>
      <c r="AD66" s="112" t="str">
        <f>IFERROR(IF(AND(S65="Impacto",S66="Impacto"),(AD65-(+AD65*V66)),IF(AND(S65="Probabilidad",S66="Impacto"),(AD64-(+AD64*V66)),IF(S66="Probabilidad",AD65,""))),"")</f>
        <v/>
      </c>
      <c r="AE66" s="113" t="str">
        <f t="shared" si="75"/>
        <v/>
      </c>
      <c r="AF66" s="114"/>
      <c r="AG66" s="115"/>
      <c r="AH66" s="116"/>
      <c r="AI66" s="117"/>
      <c r="AJ66" s="117"/>
      <c r="AK66" s="115"/>
      <c r="AL66" s="116"/>
    </row>
    <row r="67" spans="1:38" x14ac:dyDescent="0.3">
      <c r="A67" s="228"/>
      <c r="B67" s="231"/>
      <c r="C67" s="231"/>
      <c r="D67" s="231"/>
      <c r="E67" s="129"/>
      <c r="F67" s="234"/>
      <c r="G67" s="132"/>
      <c r="H67" s="231"/>
      <c r="I67" s="237"/>
      <c r="J67" s="240"/>
      <c r="K67" s="222"/>
      <c r="L67" s="243"/>
      <c r="M67" s="222">
        <f ca="1">IF(NOT(ISERROR(MATCH(L67,_xlfn.ANCHORARRAY(F78),0))),K80&amp;"Por favor no seleccionar los criterios de impacto",L67)</f>
        <v>0</v>
      </c>
      <c r="N67" s="240"/>
      <c r="O67" s="222"/>
      <c r="P67" s="225"/>
      <c r="Q67" s="105">
        <v>4</v>
      </c>
      <c r="R67" s="106"/>
      <c r="S67" s="107" t="str">
        <f t="shared" ref="S67:S69" si="76">IF(OR(T67="Preventivo",T67="Detectivo"),"Probabilidad",IF(T67="Correctivo","Impacto",""))</f>
        <v/>
      </c>
      <c r="T67" s="108"/>
      <c r="U67" s="108"/>
      <c r="V67" s="109" t="str">
        <f t="shared" si="73"/>
        <v/>
      </c>
      <c r="W67" s="108"/>
      <c r="X67" s="108"/>
      <c r="Y67" s="108"/>
      <c r="Z67" s="110" t="str">
        <f t="shared" ref="Z67:Z69" si="77">IFERROR(IF(AND(S66="Probabilidad",S67="Probabilidad"),(AB66-(+AB66*V67)),IF(AND(S66="Impacto",S67="Probabilidad"),(AB65-(+AB65*V67)),IF(S67="Impacto",AB66,""))),"")</f>
        <v/>
      </c>
      <c r="AA67" s="111" t="str">
        <f t="shared" si="50"/>
        <v/>
      </c>
      <c r="AB67" s="112" t="str">
        <f t="shared" si="74"/>
        <v/>
      </c>
      <c r="AC67" s="111" t="str">
        <f t="shared" si="52"/>
        <v/>
      </c>
      <c r="AD67" s="112" t="str">
        <f t="shared" ref="AD67:AD69" si="78">IFERROR(IF(AND(S66="Impacto",S67="Impacto"),(AD66-(+AD66*V67)),IF(AND(S66="Probabilidad",S67="Impacto"),(AD65-(+AD65*V67)),IF(S67="Probabilidad",AD66,""))),"")</f>
        <v/>
      </c>
      <c r="AE67" s="113" t="str">
        <f>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14"/>
      <c r="AG67" s="115"/>
      <c r="AH67" s="116"/>
      <c r="AI67" s="117"/>
      <c r="AJ67" s="117"/>
      <c r="AK67" s="115"/>
      <c r="AL67" s="116"/>
    </row>
    <row r="68" spans="1:38" x14ac:dyDescent="0.3">
      <c r="A68" s="228"/>
      <c r="B68" s="231"/>
      <c r="C68" s="231"/>
      <c r="D68" s="231"/>
      <c r="E68" s="129"/>
      <c r="F68" s="234"/>
      <c r="G68" s="132"/>
      <c r="H68" s="231"/>
      <c r="I68" s="237"/>
      <c r="J68" s="240"/>
      <c r="K68" s="222"/>
      <c r="L68" s="243"/>
      <c r="M68" s="222">
        <f ca="1">IF(NOT(ISERROR(MATCH(L68,_xlfn.ANCHORARRAY(F79),0))),K81&amp;"Por favor no seleccionar los criterios de impacto",L68)</f>
        <v>0</v>
      </c>
      <c r="N68" s="240"/>
      <c r="O68" s="222"/>
      <c r="P68" s="225"/>
      <c r="Q68" s="105">
        <v>5</v>
      </c>
      <c r="R68" s="106"/>
      <c r="S68" s="107" t="str">
        <f t="shared" si="76"/>
        <v/>
      </c>
      <c r="T68" s="108"/>
      <c r="U68" s="108"/>
      <c r="V68" s="109" t="str">
        <f t="shared" si="73"/>
        <v/>
      </c>
      <c r="W68" s="108"/>
      <c r="X68" s="108"/>
      <c r="Y68" s="108"/>
      <c r="Z68" s="110" t="str">
        <f t="shared" si="77"/>
        <v/>
      </c>
      <c r="AA68" s="111" t="str">
        <f t="shared" si="50"/>
        <v/>
      </c>
      <c r="AB68" s="112" t="str">
        <f t="shared" si="74"/>
        <v/>
      </c>
      <c r="AC68" s="111" t="str">
        <f t="shared" si="52"/>
        <v/>
      </c>
      <c r="AD68" s="112" t="str">
        <f t="shared" si="78"/>
        <v/>
      </c>
      <c r="AE68" s="113" t="str">
        <f t="shared" ref="AE68:AE69" si="79">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114"/>
      <c r="AG68" s="115"/>
      <c r="AH68" s="116"/>
      <c r="AI68" s="117"/>
      <c r="AJ68" s="117"/>
      <c r="AK68" s="115"/>
      <c r="AL68" s="116"/>
    </row>
    <row r="69" spans="1:38" x14ac:dyDescent="0.3">
      <c r="A69" s="229"/>
      <c r="B69" s="232"/>
      <c r="C69" s="232"/>
      <c r="D69" s="232"/>
      <c r="E69" s="130"/>
      <c r="F69" s="235"/>
      <c r="G69" s="133"/>
      <c r="H69" s="232"/>
      <c r="I69" s="238"/>
      <c r="J69" s="241"/>
      <c r="K69" s="223"/>
      <c r="L69" s="244"/>
      <c r="M69" s="223">
        <f ca="1">IF(NOT(ISERROR(MATCH(L69,_xlfn.ANCHORARRAY(F80),0))),K82&amp;"Por favor no seleccionar los criterios de impacto",L69)</f>
        <v>0</v>
      </c>
      <c r="N69" s="241"/>
      <c r="O69" s="223"/>
      <c r="P69" s="226"/>
      <c r="Q69" s="105">
        <v>6</v>
      </c>
      <c r="R69" s="106"/>
      <c r="S69" s="107" t="str">
        <f t="shared" si="76"/>
        <v/>
      </c>
      <c r="T69" s="108"/>
      <c r="U69" s="108"/>
      <c r="V69" s="109" t="str">
        <f t="shared" si="73"/>
        <v/>
      </c>
      <c r="W69" s="108"/>
      <c r="X69" s="108"/>
      <c r="Y69" s="108"/>
      <c r="Z69" s="110" t="str">
        <f t="shared" si="77"/>
        <v/>
      </c>
      <c r="AA69" s="111" t="str">
        <f t="shared" si="50"/>
        <v/>
      </c>
      <c r="AB69" s="112" t="str">
        <f t="shared" si="74"/>
        <v/>
      </c>
      <c r="AC69" s="111" t="str">
        <f t="shared" si="52"/>
        <v/>
      </c>
      <c r="AD69" s="112" t="str">
        <f t="shared" si="78"/>
        <v/>
      </c>
      <c r="AE69" s="113" t="str">
        <f t="shared" si="79"/>
        <v/>
      </c>
      <c r="AF69" s="114"/>
      <c r="AG69" s="115"/>
      <c r="AH69" s="116"/>
      <c r="AI69" s="117"/>
      <c r="AJ69" s="117"/>
      <c r="AK69" s="115"/>
      <c r="AL69" s="116"/>
    </row>
    <row r="70" spans="1:38" x14ac:dyDescent="0.3">
      <c r="A70" s="6"/>
      <c r="B70" s="218" t="s">
        <v>125</v>
      </c>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20"/>
    </row>
    <row r="72" spans="1:38" x14ac:dyDescent="0.3">
      <c r="A72" s="1"/>
      <c r="B72" s="24" t="s">
        <v>137</v>
      </c>
      <c r="C72" s="1"/>
      <c r="D72" s="1"/>
      <c r="E72" s="1"/>
      <c r="H72" s="1"/>
    </row>
  </sheetData>
  <dataConsolidate/>
  <mergeCells count="188">
    <mergeCell ref="J22:J27"/>
    <mergeCell ref="A16:A21"/>
    <mergeCell ref="A10:A15"/>
    <mergeCell ref="B10:B15"/>
    <mergeCell ref="C10:C15"/>
    <mergeCell ref="D10:D15"/>
    <mergeCell ref="F10:F15"/>
    <mergeCell ref="A22:A27"/>
    <mergeCell ref="B22:B27"/>
    <mergeCell ref="D22:D27"/>
    <mergeCell ref="F22:F27"/>
    <mergeCell ref="H16:H21"/>
    <mergeCell ref="I16:I21"/>
    <mergeCell ref="J16:J21"/>
    <mergeCell ref="J10:J15"/>
    <mergeCell ref="E8:E9"/>
    <mergeCell ref="D16:D21"/>
    <mergeCell ref="F16:F21"/>
    <mergeCell ref="M16:M21"/>
    <mergeCell ref="N16:N21"/>
    <mergeCell ref="O16:O21"/>
    <mergeCell ref="P16:P21"/>
    <mergeCell ref="B16:B21"/>
    <mergeCell ref="C16:C21"/>
    <mergeCell ref="P10:P15"/>
    <mergeCell ref="K10:K15"/>
    <mergeCell ref="L10:L15"/>
    <mergeCell ref="M10:M15"/>
    <mergeCell ref="N10:N15"/>
    <mergeCell ref="O10:O15"/>
    <mergeCell ref="G10:G15"/>
    <mergeCell ref="I8:I9"/>
    <mergeCell ref="J8:J9"/>
    <mergeCell ref="K8:K9"/>
    <mergeCell ref="N8:N9"/>
    <mergeCell ref="O8:O9"/>
    <mergeCell ref="G16:G21"/>
    <mergeCell ref="H10:H15"/>
    <mergeCell ref="I10:I15"/>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C4:AL4"/>
    <mergeCell ref="C5:AL5"/>
    <mergeCell ref="B8:B9"/>
    <mergeCell ref="P8:P9"/>
    <mergeCell ref="L8:L9"/>
    <mergeCell ref="M8:M9"/>
    <mergeCell ref="S8:S9"/>
    <mergeCell ref="T8:Y8"/>
    <mergeCell ref="K16:K21"/>
    <mergeCell ref="L16:L21"/>
    <mergeCell ref="AG8:AG9"/>
    <mergeCell ref="AL8:AL9"/>
    <mergeCell ref="AK8:AK9"/>
    <mergeCell ref="AJ8:AJ9"/>
    <mergeCell ref="AI8:AI9"/>
    <mergeCell ref="AH8:AH9"/>
    <mergeCell ref="AB8:AB9"/>
    <mergeCell ref="O22:O27"/>
    <mergeCell ref="P22:P27"/>
    <mergeCell ref="A28:A33"/>
    <mergeCell ref="B28:B33"/>
    <mergeCell ref="C28:C33"/>
    <mergeCell ref="D28:D33"/>
    <mergeCell ref="F28:F33"/>
    <mergeCell ref="H28:H33"/>
    <mergeCell ref="I28:I33"/>
    <mergeCell ref="J28:J33"/>
    <mergeCell ref="K28:K33"/>
    <mergeCell ref="L28:L33"/>
    <mergeCell ref="M28:M33"/>
    <mergeCell ref="N28:N33"/>
    <mergeCell ref="O28:O33"/>
    <mergeCell ref="P28:P33"/>
    <mergeCell ref="C22:C27"/>
    <mergeCell ref="K22:K27"/>
    <mergeCell ref="L22:L27"/>
    <mergeCell ref="M22:M27"/>
    <mergeCell ref="N22:N27"/>
    <mergeCell ref="G22:G27"/>
    <mergeCell ref="H22:H27"/>
    <mergeCell ref="I22:I27"/>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L58:L63"/>
    <mergeCell ref="M58:M63"/>
    <mergeCell ref="N58:N63"/>
    <mergeCell ref="A58:A63"/>
    <mergeCell ref="B58:B63"/>
    <mergeCell ref="C58:C63"/>
    <mergeCell ref="D58:D63"/>
    <mergeCell ref="F58:F63"/>
    <mergeCell ref="H58:H63"/>
    <mergeCell ref="I58:I63"/>
    <mergeCell ref="J58:J63"/>
    <mergeCell ref="K58:K63"/>
    <mergeCell ref="C6:AL6"/>
    <mergeCell ref="A1:AL2"/>
    <mergeCell ref="A7:I7"/>
    <mergeCell ref="J7:P7"/>
    <mergeCell ref="Q7:Y7"/>
    <mergeCell ref="Z7:AF7"/>
    <mergeCell ref="AG7:AL7"/>
    <mergeCell ref="B70:AL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s>
  <conditionalFormatting sqref="J10 J16 J22 J28 J34 J40 J46 J52 J58 J64">
    <cfRule type="cellIs" dxfId="202" priority="361" operator="equal">
      <formula>"Muy Alta"</formula>
    </cfRule>
    <cfRule type="cellIs" dxfId="201" priority="362" operator="equal">
      <formula>"Alta"</formula>
    </cfRule>
    <cfRule type="cellIs" dxfId="200" priority="363" operator="equal">
      <formula>"Media"</formula>
    </cfRule>
    <cfRule type="cellIs" dxfId="199" priority="364" operator="equal">
      <formula>"Baja"</formula>
    </cfRule>
    <cfRule type="cellIs" dxfId="198" priority="365" operator="equal">
      <formula>"Muy Baja"</formula>
    </cfRule>
  </conditionalFormatting>
  <conditionalFormatting sqref="N10 N16 N22 N28 N34 N40 N46 N52 N58 N64">
    <cfRule type="cellIs" dxfId="197" priority="356" operator="equal">
      <formula>"Catastrófico"</formula>
    </cfRule>
    <cfRule type="cellIs" dxfId="196" priority="357" operator="equal">
      <formula>"Mayor"</formula>
    </cfRule>
    <cfRule type="cellIs" dxfId="195" priority="358" operator="equal">
      <formula>"Moderado"</formula>
    </cfRule>
    <cfRule type="cellIs" dxfId="194" priority="359" operator="equal">
      <formula>"Menor"</formula>
    </cfRule>
    <cfRule type="cellIs" dxfId="193" priority="360" operator="equal">
      <formula>"Leve"</formula>
    </cfRule>
  </conditionalFormatting>
  <conditionalFormatting sqref="P10">
    <cfRule type="cellIs" dxfId="192" priority="352" operator="equal">
      <formula>"Extremo"</formula>
    </cfRule>
    <cfRule type="cellIs" dxfId="191" priority="353" operator="equal">
      <formula>"Alto"</formula>
    </cfRule>
    <cfRule type="cellIs" dxfId="190" priority="354" operator="equal">
      <formula>"Moderado"</formula>
    </cfRule>
    <cfRule type="cellIs" dxfId="189" priority="355" operator="equal">
      <formula>"Bajo"</formula>
    </cfRule>
  </conditionalFormatting>
  <conditionalFormatting sqref="AA10">
    <cfRule type="cellIs" dxfId="188" priority="347" operator="equal">
      <formula>"Muy Alta"</formula>
    </cfRule>
    <cfRule type="cellIs" dxfId="187" priority="348" operator="equal">
      <formula>"Alta"</formula>
    </cfRule>
    <cfRule type="cellIs" dxfId="186" priority="349" operator="equal">
      <formula>"Media"</formula>
    </cfRule>
    <cfRule type="cellIs" dxfId="185" priority="350" operator="equal">
      <formula>"Baja"</formula>
    </cfRule>
    <cfRule type="cellIs" dxfId="184" priority="351" operator="equal">
      <formula>"Muy Baja"</formula>
    </cfRule>
  </conditionalFormatting>
  <conditionalFormatting sqref="AC10">
    <cfRule type="cellIs" dxfId="183" priority="342" operator="equal">
      <formula>"Catastrófico"</formula>
    </cfRule>
    <cfRule type="cellIs" dxfId="182" priority="343" operator="equal">
      <formula>"Mayor"</formula>
    </cfRule>
    <cfRule type="cellIs" dxfId="181" priority="344" operator="equal">
      <formula>"Moderado"</formula>
    </cfRule>
    <cfRule type="cellIs" dxfId="180" priority="345" operator="equal">
      <formula>"Menor"</formula>
    </cfRule>
    <cfRule type="cellIs" dxfId="179" priority="346" operator="equal">
      <formula>"Leve"</formula>
    </cfRule>
  </conditionalFormatting>
  <conditionalFormatting sqref="AE10">
    <cfRule type="cellIs" dxfId="178" priority="338" operator="equal">
      <formula>"Extremo"</formula>
    </cfRule>
    <cfRule type="cellIs" dxfId="177" priority="339" operator="equal">
      <formula>"Alto"</formula>
    </cfRule>
    <cfRule type="cellIs" dxfId="176" priority="340" operator="equal">
      <formula>"Moderado"</formula>
    </cfRule>
    <cfRule type="cellIs" dxfId="175" priority="341" operator="equal">
      <formula>"Bajo"</formula>
    </cfRule>
  </conditionalFormatting>
  <conditionalFormatting sqref="P16 P22 P28 P34 P40 P46 P52 P58 P64">
    <cfRule type="cellIs" dxfId="174" priority="282" operator="equal">
      <formula>"Extremo"</formula>
    </cfRule>
    <cfRule type="cellIs" dxfId="173" priority="283" operator="equal">
      <formula>"Alto"</formula>
    </cfRule>
    <cfRule type="cellIs" dxfId="172" priority="284" operator="equal">
      <formula>"Moderado"</formula>
    </cfRule>
    <cfRule type="cellIs" dxfId="171" priority="285" operator="equal">
      <formula>"Bajo"</formula>
    </cfRule>
  </conditionalFormatting>
  <conditionalFormatting sqref="AA22:AA27">
    <cfRule type="cellIs" dxfId="170" priority="249" operator="equal">
      <formula>"Muy Alta"</formula>
    </cfRule>
    <cfRule type="cellIs" dxfId="169" priority="250" operator="equal">
      <formula>"Alta"</formula>
    </cfRule>
    <cfRule type="cellIs" dxfId="168" priority="251" operator="equal">
      <formula>"Media"</formula>
    </cfRule>
    <cfRule type="cellIs" dxfId="167" priority="252" operator="equal">
      <formula>"Baja"</formula>
    </cfRule>
    <cfRule type="cellIs" dxfId="166" priority="253" operator="equal">
      <formula>"Muy Baja"</formula>
    </cfRule>
  </conditionalFormatting>
  <conditionalFormatting sqref="AC22:AC27">
    <cfRule type="cellIs" dxfId="165" priority="244" operator="equal">
      <formula>"Catastrófico"</formula>
    </cfRule>
    <cfRule type="cellIs" dxfId="164" priority="245" operator="equal">
      <formula>"Mayor"</formula>
    </cfRule>
    <cfRule type="cellIs" dxfId="163" priority="246" operator="equal">
      <formula>"Moderado"</formula>
    </cfRule>
    <cfRule type="cellIs" dxfId="162" priority="247" operator="equal">
      <formula>"Menor"</formula>
    </cfRule>
    <cfRule type="cellIs" dxfId="161" priority="248" operator="equal">
      <formula>"Leve"</formula>
    </cfRule>
  </conditionalFormatting>
  <conditionalFormatting sqref="AE22:AE27">
    <cfRule type="cellIs" dxfId="160" priority="240" operator="equal">
      <formula>"Extremo"</formula>
    </cfRule>
    <cfRule type="cellIs" dxfId="159" priority="241" operator="equal">
      <formula>"Alto"</formula>
    </cfRule>
    <cfRule type="cellIs" dxfId="158" priority="242" operator="equal">
      <formula>"Moderado"</formula>
    </cfRule>
    <cfRule type="cellIs" dxfId="157" priority="243" operator="equal">
      <formula>"Bajo"</formula>
    </cfRule>
  </conditionalFormatting>
  <conditionalFormatting sqref="AA28:AA33">
    <cfRule type="cellIs" dxfId="156" priority="221" operator="equal">
      <formula>"Muy Alta"</formula>
    </cfRule>
    <cfRule type="cellIs" dxfId="155" priority="222" operator="equal">
      <formula>"Alta"</formula>
    </cfRule>
    <cfRule type="cellIs" dxfId="154" priority="223" operator="equal">
      <formula>"Media"</formula>
    </cfRule>
    <cfRule type="cellIs" dxfId="153" priority="224" operator="equal">
      <formula>"Baja"</formula>
    </cfRule>
    <cfRule type="cellIs" dxfId="152" priority="225" operator="equal">
      <formula>"Muy Baja"</formula>
    </cfRule>
  </conditionalFormatting>
  <conditionalFormatting sqref="AC28:AC33">
    <cfRule type="cellIs" dxfId="151" priority="216" operator="equal">
      <formula>"Catastrófico"</formula>
    </cfRule>
    <cfRule type="cellIs" dxfId="150" priority="217" operator="equal">
      <formula>"Mayor"</formula>
    </cfRule>
    <cfRule type="cellIs" dxfId="149" priority="218" operator="equal">
      <formula>"Moderado"</formula>
    </cfRule>
    <cfRule type="cellIs" dxfId="148" priority="219" operator="equal">
      <formula>"Menor"</formula>
    </cfRule>
    <cfRule type="cellIs" dxfId="147" priority="220" operator="equal">
      <formula>"Leve"</formula>
    </cfRule>
  </conditionalFormatting>
  <conditionalFormatting sqref="AE28:AE33">
    <cfRule type="cellIs" dxfId="146" priority="212" operator="equal">
      <formula>"Extremo"</formula>
    </cfRule>
    <cfRule type="cellIs" dxfId="145" priority="213" operator="equal">
      <formula>"Alto"</formula>
    </cfRule>
    <cfRule type="cellIs" dxfId="144" priority="214" operator="equal">
      <formula>"Moderado"</formula>
    </cfRule>
    <cfRule type="cellIs" dxfId="143" priority="215" operator="equal">
      <formula>"Bajo"</formula>
    </cfRule>
  </conditionalFormatting>
  <conditionalFormatting sqref="AA34:AA39">
    <cfRule type="cellIs" dxfId="142" priority="193" operator="equal">
      <formula>"Muy Alta"</formula>
    </cfRule>
    <cfRule type="cellIs" dxfId="141" priority="194" operator="equal">
      <formula>"Alta"</formula>
    </cfRule>
    <cfRule type="cellIs" dxfId="140" priority="195" operator="equal">
      <formula>"Media"</formula>
    </cfRule>
    <cfRule type="cellIs" dxfId="139" priority="196" operator="equal">
      <formula>"Baja"</formula>
    </cfRule>
    <cfRule type="cellIs" dxfId="138" priority="197" operator="equal">
      <formula>"Muy Baja"</formula>
    </cfRule>
  </conditionalFormatting>
  <conditionalFormatting sqref="AC34:AC39">
    <cfRule type="cellIs" dxfId="137" priority="188" operator="equal">
      <formula>"Catastrófico"</formula>
    </cfRule>
    <cfRule type="cellIs" dxfId="136" priority="189" operator="equal">
      <formula>"Mayor"</formula>
    </cfRule>
    <cfRule type="cellIs" dxfId="135" priority="190" operator="equal">
      <formula>"Moderado"</formula>
    </cfRule>
    <cfRule type="cellIs" dxfId="134" priority="191" operator="equal">
      <formula>"Menor"</formula>
    </cfRule>
    <cfRule type="cellIs" dxfId="133" priority="192" operator="equal">
      <formula>"Leve"</formula>
    </cfRule>
  </conditionalFormatting>
  <conditionalFormatting sqref="AE34:AE39">
    <cfRule type="cellIs" dxfId="132" priority="184" operator="equal">
      <formula>"Extremo"</formula>
    </cfRule>
    <cfRule type="cellIs" dxfId="131" priority="185" operator="equal">
      <formula>"Alto"</formula>
    </cfRule>
    <cfRule type="cellIs" dxfId="130" priority="186" operator="equal">
      <formula>"Moderado"</formula>
    </cfRule>
    <cfRule type="cellIs" dxfId="129" priority="187" operator="equal">
      <formula>"Bajo"</formula>
    </cfRule>
  </conditionalFormatting>
  <conditionalFormatting sqref="AA40:AA45">
    <cfRule type="cellIs" dxfId="128" priority="165" operator="equal">
      <formula>"Muy Alta"</formula>
    </cfRule>
    <cfRule type="cellIs" dxfId="127" priority="166" operator="equal">
      <formula>"Alta"</formula>
    </cfRule>
    <cfRule type="cellIs" dxfId="126" priority="167" operator="equal">
      <formula>"Media"</formula>
    </cfRule>
    <cfRule type="cellIs" dxfId="125" priority="168" operator="equal">
      <formula>"Baja"</formula>
    </cfRule>
    <cfRule type="cellIs" dxfId="124" priority="169" operator="equal">
      <formula>"Muy Baja"</formula>
    </cfRule>
  </conditionalFormatting>
  <conditionalFormatting sqref="AC40:AC45">
    <cfRule type="cellIs" dxfId="123" priority="160" operator="equal">
      <formula>"Catastrófico"</formula>
    </cfRule>
    <cfRule type="cellIs" dxfId="122" priority="161" operator="equal">
      <formula>"Mayor"</formula>
    </cfRule>
    <cfRule type="cellIs" dxfId="121" priority="162" operator="equal">
      <formula>"Moderado"</formula>
    </cfRule>
    <cfRule type="cellIs" dxfId="120" priority="163" operator="equal">
      <formula>"Menor"</formula>
    </cfRule>
    <cfRule type="cellIs" dxfId="119" priority="164" operator="equal">
      <formula>"Leve"</formula>
    </cfRule>
  </conditionalFormatting>
  <conditionalFormatting sqref="AE40:AE45">
    <cfRule type="cellIs" dxfId="118" priority="156" operator="equal">
      <formula>"Extremo"</formula>
    </cfRule>
    <cfRule type="cellIs" dxfId="117" priority="157" operator="equal">
      <formula>"Alto"</formula>
    </cfRule>
    <cfRule type="cellIs" dxfId="116" priority="158" operator="equal">
      <formula>"Moderado"</formula>
    </cfRule>
    <cfRule type="cellIs" dxfId="115" priority="159" operator="equal">
      <formula>"Bajo"</formula>
    </cfRule>
  </conditionalFormatting>
  <conditionalFormatting sqref="AA46:AA51">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AC46:AC51">
    <cfRule type="cellIs" dxfId="109" priority="132" operator="equal">
      <formula>"Catastrófico"</formula>
    </cfRule>
    <cfRule type="cellIs" dxfId="108" priority="133" operator="equal">
      <formula>"Mayor"</formula>
    </cfRule>
    <cfRule type="cellIs" dxfId="107" priority="134" operator="equal">
      <formula>"Moderado"</formula>
    </cfRule>
    <cfRule type="cellIs" dxfId="106" priority="135" operator="equal">
      <formula>"Menor"</formula>
    </cfRule>
    <cfRule type="cellIs" dxfId="105" priority="136" operator="equal">
      <formula>"Leve"</formula>
    </cfRule>
  </conditionalFormatting>
  <conditionalFormatting sqref="AE46:AE51">
    <cfRule type="cellIs" dxfId="104" priority="128" operator="equal">
      <formula>"Extremo"</formula>
    </cfRule>
    <cfRule type="cellIs" dxfId="103" priority="129" operator="equal">
      <formula>"Alto"</formula>
    </cfRule>
    <cfRule type="cellIs" dxfId="102" priority="130" operator="equal">
      <formula>"Moderado"</formula>
    </cfRule>
    <cfRule type="cellIs" dxfId="101" priority="131" operator="equal">
      <formula>"Bajo"</formula>
    </cfRule>
  </conditionalFormatting>
  <conditionalFormatting sqref="AA52:AA57">
    <cfRule type="cellIs" dxfId="100" priority="109" operator="equal">
      <formula>"Muy Alta"</formula>
    </cfRule>
    <cfRule type="cellIs" dxfId="99" priority="110" operator="equal">
      <formula>"Alta"</formula>
    </cfRule>
    <cfRule type="cellIs" dxfId="98" priority="111" operator="equal">
      <formula>"Media"</formula>
    </cfRule>
    <cfRule type="cellIs" dxfId="97" priority="112" operator="equal">
      <formula>"Baja"</formula>
    </cfRule>
    <cfRule type="cellIs" dxfId="96" priority="113" operator="equal">
      <formula>"Muy Baja"</formula>
    </cfRule>
  </conditionalFormatting>
  <conditionalFormatting sqref="AC52:AC57">
    <cfRule type="cellIs" dxfId="95" priority="104" operator="equal">
      <formula>"Catastrófico"</formula>
    </cfRule>
    <cfRule type="cellIs" dxfId="94" priority="105" operator="equal">
      <formula>"Mayor"</formula>
    </cfRule>
    <cfRule type="cellIs" dxfId="93" priority="106" operator="equal">
      <formula>"Moderado"</formula>
    </cfRule>
    <cfRule type="cellIs" dxfId="92" priority="107" operator="equal">
      <formula>"Menor"</formula>
    </cfRule>
    <cfRule type="cellIs" dxfId="91" priority="108" operator="equal">
      <formula>"Leve"</formula>
    </cfRule>
  </conditionalFormatting>
  <conditionalFormatting sqref="AE52:AE57">
    <cfRule type="cellIs" dxfId="90" priority="100" operator="equal">
      <formula>"Extremo"</formula>
    </cfRule>
    <cfRule type="cellIs" dxfId="89" priority="101" operator="equal">
      <formula>"Alto"</formula>
    </cfRule>
    <cfRule type="cellIs" dxfId="88" priority="102" operator="equal">
      <formula>"Moderado"</formula>
    </cfRule>
    <cfRule type="cellIs" dxfId="87" priority="103" operator="equal">
      <formula>"Bajo"</formula>
    </cfRule>
  </conditionalFormatting>
  <conditionalFormatting sqref="AA58:AA63">
    <cfRule type="cellIs" dxfId="86" priority="81" operator="equal">
      <formula>"Muy Alta"</formula>
    </cfRule>
    <cfRule type="cellIs" dxfId="85" priority="82" operator="equal">
      <formula>"Alta"</formula>
    </cfRule>
    <cfRule type="cellIs" dxfId="84" priority="83" operator="equal">
      <formula>"Media"</formula>
    </cfRule>
    <cfRule type="cellIs" dxfId="83" priority="84" operator="equal">
      <formula>"Baja"</formula>
    </cfRule>
    <cfRule type="cellIs" dxfId="82" priority="85" operator="equal">
      <formula>"Muy Baja"</formula>
    </cfRule>
  </conditionalFormatting>
  <conditionalFormatting sqref="AC58:AC63">
    <cfRule type="cellIs" dxfId="81" priority="76" operator="equal">
      <formula>"Catastrófico"</formula>
    </cfRule>
    <cfRule type="cellIs" dxfId="80" priority="77" operator="equal">
      <formula>"Mayor"</formula>
    </cfRule>
    <cfRule type="cellIs" dxfId="79" priority="78" operator="equal">
      <formula>"Moderado"</formula>
    </cfRule>
    <cfRule type="cellIs" dxfId="78" priority="79" operator="equal">
      <formula>"Menor"</formula>
    </cfRule>
    <cfRule type="cellIs" dxfId="77" priority="80" operator="equal">
      <formula>"Leve"</formula>
    </cfRule>
  </conditionalFormatting>
  <conditionalFormatting sqref="AE58:AE63">
    <cfRule type="cellIs" dxfId="76" priority="72" operator="equal">
      <formula>"Extremo"</formula>
    </cfRule>
    <cfRule type="cellIs" dxfId="75" priority="73" operator="equal">
      <formula>"Alto"</formula>
    </cfRule>
    <cfRule type="cellIs" dxfId="74" priority="74" operator="equal">
      <formula>"Moderado"</formula>
    </cfRule>
    <cfRule type="cellIs" dxfId="73" priority="75" operator="equal">
      <formula>"Bajo"</formula>
    </cfRule>
  </conditionalFormatting>
  <conditionalFormatting sqref="AA64:AA69">
    <cfRule type="cellIs" dxfId="72" priority="53" operator="equal">
      <formula>"Muy Alta"</formula>
    </cfRule>
    <cfRule type="cellIs" dxfId="71" priority="54" operator="equal">
      <formula>"Alta"</formula>
    </cfRule>
    <cfRule type="cellIs" dxfId="70" priority="55" operator="equal">
      <formula>"Media"</formula>
    </cfRule>
    <cfRule type="cellIs" dxfId="69" priority="56" operator="equal">
      <formula>"Baja"</formula>
    </cfRule>
    <cfRule type="cellIs" dxfId="68" priority="57" operator="equal">
      <formula>"Muy Baja"</formula>
    </cfRule>
  </conditionalFormatting>
  <conditionalFormatting sqref="AC64:AC69">
    <cfRule type="cellIs" dxfId="67" priority="48" operator="equal">
      <formula>"Catastrófico"</formula>
    </cfRule>
    <cfRule type="cellIs" dxfId="66" priority="49" operator="equal">
      <formula>"Mayor"</formula>
    </cfRule>
    <cfRule type="cellIs" dxfId="65" priority="50" operator="equal">
      <formula>"Moderado"</formula>
    </cfRule>
    <cfRule type="cellIs" dxfId="64" priority="51" operator="equal">
      <formula>"Menor"</formula>
    </cfRule>
    <cfRule type="cellIs" dxfId="63" priority="52" operator="equal">
      <formula>"Leve"</formula>
    </cfRule>
  </conditionalFormatting>
  <conditionalFormatting sqref="AE64:AE69">
    <cfRule type="cellIs" dxfId="62" priority="44" operator="equal">
      <formula>"Extremo"</formula>
    </cfRule>
    <cfRule type="cellIs" dxfId="61" priority="45" operator="equal">
      <formula>"Alto"</formula>
    </cfRule>
    <cfRule type="cellIs" dxfId="60" priority="46" operator="equal">
      <formula>"Moderado"</formula>
    </cfRule>
    <cfRule type="cellIs" dxfId="59" priority="47" operator="equal">
      <formula>"Bajo"</formula>
    </cfRule>
  </conditionalFormatting>
  <conditionalFormatting sqref="M10:M69">
    <cfRule type="containsText" dxfId="58" priority="43" operator="containsText" text="❌">
      <formula>NOT(ISERROR(SEARCH("❌",M10)))</formula>
    </cfRule>
  </conditionalFormatting>
  <conditionalFormatting sqref="AA11:AA15">
    <cfRule type="cellIs" dxfId="57" priority="38" operator="equal">
      <formula>"Muy Alta"</formula>
    </cfRule>
    <cfRule type="cellIs" dxfId="56" priority="39" operator="equal">
      <formula>"Alta"</formula>
    </cfRule>
    <cfRule type="cellIs" dxfId="55" priority="40" operator="equal">
      <formula>"Media"</formula>
    </cfRule>
    <cfRule type="cellIs" dxfId="54" priority="41" operator="equal">
      <formula>"Baja"</formula>
    </cfRule>
    <cfRule type="cellIs" dxfId="53" priority="42" operator="equal">
      <formula>"Muy Baja"</formula>
    </cfRule>
  </conditionalFormatting>
  <conditionalFormatting sqref="AC11:AC15">
    <cfRule type="cellIs" dxfId="52" priority="33" operator="equal">
      <formula>"Catastrófico"</formula>
    </cfRule>
    <cfRule type="cellIs" dxfId="51" priority="34" operator="equal">
      <formula>"Mayor"</formula>
    </cfRule>
    <cfRule type="cellIs" dxfId="50" priority="35" operator="equal">
      <formula>"Moderado"</formula>
    </cfRule>
    <cfRule type="cellIs" dxfId="49" priority="36" operator="equal">
      <formula>"Menor"</formula>
    </cfRule>
    <cfRule type="cellIs" dxfId="48" priority="37" operator="equal">
      <formula>"Leve"</formula>
    </cfRule>
  </conditionalFormatting>
  <conditionalFormatting sqref="AE11:AE15">
    <cfRule type="cellIs" dxfId="47" priority="29" operator="equal">
      <formula>"Extremo"</formula>
    </cfRule>
    <cfRule type="cellIs" dxfId="46" priority="30" operator="equal">
      <formula>"Alto"</formula>
    </cfRule>
    <cfRule type="cellIs" dxfId="45" priority="31" operator="equal">
      <formula>"Moderado"</formula>
    </cfRule>
    <cfRule type="cellIs" dxfId="44" priority="32" operator="equal">
      <formula>"Bajo"</formula>
    </cfRule>
  </conditionalFormatting>
  <conditionalFormatting sqref="AA16">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16">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16">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17:AA21">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17:AC21">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17:AE21">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T16:T19 T22:T69 T10:T14</xm:sqref>
        </x14:dataValidation>
        <x14:dataValidation type="list" allowBlank="1" showInputMessage="1" showErrorMessage="1">
          <x14:formula1>
            <xm:f>'Tabla Valoración controles'!$D$7:$D$8</xm:f>
          </x14:formula1>
          <xm:sqref>U16:U19 U22:U69 U10:U14</xm:sqref>
        </x14:dataValidation>
        <x14:dataValidation type="list" allowBlank="1" showInputMessage="1" showErrorMessage="1">
          <x14:formula1>
            <xm:f>'Tabla Valoración controles'!$D$9:$D$10</xm:f>
          </x14:formula1>
          <xm:sqref>W16:W19 W22:W69 W10:W14</xm:sqref>
        </x14:dataValidation>
        <x14:dataValidation type="list" allowBlank="1" showInputMessage="1" showErrorMessage="1">
          <x14:formula1>
            <xm:f>'Tabla Valoración controles'!$D$11:$D$12</xm:f>
          </x14:formula1>
          <xm:sqref>X16:X19 X22:X69 X10:X14</xm:sqref>
        </x14:dataValidation>
        <x14:dataValidation type="list" allowBlank="1" showInputMessage="1" showErrorMessage="1">
          <x14:formula1>
            <xm:f>'Opciones Tratamiento'!$B$9:$B$10</xm:f>
          </x14:formula1>
          <xm:sqref>AL67:AL68 AL22:AL23 AL25:AL26 AL28:AL29 AL31:AL32 AL34:AL35 AL37:AL38 AL40:AL41 AL43:AL44 AL46:AL47 AL49:AL50 AL52:AL53 AL55:AL56 AL58:AL59 AL61:AL62 AL64:AL65 AL10:AL20</xm:sqref>
        </x14:dataValidation>
        <x14:dataValidation type="list" allowBlank="1" showInputMessage="1" showErrorMessage="1">
          <x14:formula1>
            <xm:f>'Tabla Valoración controles'!$D$13:$D$14</xm:f>
          </x14:formula1>
          <xm:sqref>Y16:Y19 Y22:Y69 Y10:Y14</xm:sqref>
        </x14:dataValidation>
        <x14:dataValidation type="list" allowBlank="1" showInputMessage="1" showErrorMessage="1">
          <x14:formula1>
            <xm:f>'Opciones Tratamiento'!$B$13:$B$19</xm:f>
          </x14:formula1>
          <xm:sqref>H10:H69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AF10:AF69</xm:sqref>
        </x14:dataValidation>
        <x14:dataValidation type="list" allowBlank="1" showInputMessage="1" showErrorMessage="1">
          <x14:formula1>
            <xm:f>'Tabla Impacto'!$F$210:$F$221</xm:f>
          </x14:formula1>
          <xm:sqref>L10:L69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AG10:AG69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AJ22:AK23 AI10:AI69 AJ10:AK17</xm:sqref>
        </x14:dataValidation>
        <x14:dataValidation type="custom" allowBlank="1" showInputMessage="1" showErrorMessage="1" error="Recuerde que las acciones se generan bajo la medida de mitigar el riesgo">
          <x14:formula1>
            <xm:f>IF(OR(AF18='Opciones Tratamiento'!$B$2,AF18='Opciones Tratamiento'!$B$3,AF18='Opciones Tratamiento'!$B$4),ISBLANK(AF18),ISTEXT(AF18))</xm:f>
          </x14:formula1>
          <xm:sqref>AJ24:AJ69 AJ18:AJ21</xm:sqref>
        </x14:dataValidation>
        <x14:dataValidation type="custom" allowBlank="1" showInputMessage="1" showErrorMessage="1" error="Recuerde que las acciones se generan bajo la medida de mitigar el riesgo">
          <x14:formula1>
            <xm:f>IF(OR(AF18='Opciones Tratamiento'!$B$2,AF18='Opciones Tratamiento'!$B$3,AF18='Opciones Tratamiento'!$B$4),ISBLANK(AF18),ISTEXT(AF18))</xm:f>
          </x14:formula1>
          <xm:sqref>AK24:AK69 AK18:AK21</xm:sqref>
        </x14:dataValidation>
        <x14:dataValidation type="list" allowBlank="1" showInputMessage="1" showErrorMessage="1">
          <x14:formula1>
            <xm:f>'C:\Users\HOME\Downloads\[Formato Matriz de Riesgos 2021 (1).xlsx]Tabla Valoración controles'!#REF!</xm:f>
          </x14:formula1>
          <xm:sqref>T20:U21 T15:U15 W20:Y21 W15:Y15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70" zoomScaleNormal="70" workbookViewId="0">
      <selection activeCell="AJ6" sqref="AJ6:AK7"/>
    </sheetView>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391" t="s">
        <v>149</v>
      </c>
      <c r="C2" s="391"/>
      <c r="D2" s="391"/>
      <c r="E2" s="391"/>
      <c r="F2" s="391"/>
      <c r="G2" s="391"/>
      <c r="H2" s="391"/>
      <c r="I2" s="391"/>
      <c r="J2" s="359" t="s">
        <v>2</v>
      </c>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391"/>
      <c r="C3" s="391"/>
      <c r="D3" s="391"/>
      <c r="E3" s="391"/>
      <c r="F3" s="391"/>
      <c r="G3" s="391"/>
      <c r="H3" s="391"/>
      <c r="I3" s="391"/>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391"/>
      <c r="C4" s="391"/>
      <c r="D4" s="391"/>
      <c r="E4" s="391"/>
      <c r="F4" s="391"/>
      <c r="G4" s="391"/>
      <c r="H4" s="391"/>
      <c r="I4" s="391"/>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306" t="s">
        <v>4</v>
      </c>
      <c r="C6" s="306"/>
      <c r="D6" s="307"/>
      <c r="E6" s="344" t="s">
        <v>110</v>
      </c>
      <c r="F6" s="345"/>
      <c r="G6" s="345"/>
      <c r="H6" s="345"/>
      <c r="I6" s="346"/>
      <c r="J6" s="355" t="str">
        <f ca="1">IF(AND('Mapa final'!$J$10="Muy Alta",'Mapa final'!$N$10="Leve"),CONCATENATE("R",'Mapa final'!$A$10),"")</f>
        <v/>
      </c>
      <c r="K6" s="356"/>
      <c r="L6" s="356" t="str">
        <f>IF(AND('Mapa final'!$J$16="Muy Alta",'Mapa final'!$N$16="Leve"),CONCATENATE("R",'Mapa final'!$A$16),"")</f>
        <v/>
      </c>
      <c r="M6" s="356"/>
      <c r="N6" s="356" t="str">
        <f>IF(AND('Mapa final'!$J$22="Muy Alta",'Mapa final'!$N$22="Leve"),CONCATENATE("R",'Mapa final'!$A$22),"")</f>
        <v/>
      </c>
      <c r="O6" s="358"/>
      <c r="P6" s="355" t="str">
        <f ca="1">IF(AND('Mapa final'!$J$10="Muy Alta",'Mapa final'!$N$10="Menor"),CONCATENATE("R",'Mapa final'!$A$10),"")</f>
        <v/>
      </c>
      <c r="Q6" s="356"/>
      <c r="R6" s="356" t="str">
        <f>IF(AND('Mapa final'!$J$16="Muy Alta",'Mapa final'!$N$16="Menor"),CONCATENATE("R",'Mapa final'!$A$16),"")</f>
        <v/>
      </c>
      <c r="S6" s="356"/>
      <c r="T6" s="356" t="str">
        <f>IF(AND('Mapa final'!$J$22="Muy Alta",'Mapa final'!$N$22="Menor"),CONCATENATE("R",'Mapa final'!$A$22),"")</f>
        <v/>
      </c>
      <c r="U6" s="358"/>
      <c r="V6" s="355" t="str">
        <f ca="1">IF(AND('Mapa final'!$J$10="Muy Alta",'Mapa final'!$N$10="Moderado"),CONCATENATE("R",'Mapa final'!$A$10),"")</f>
        <v/>
      </c>
      <c r="W6" s="356"/>
      <c r="X6" s="356" t="str">
        <f>IF(AND('Mapa final'!$J$16="Muy Alta",'Mapa final'!$N$16="Moderado"),CONCATENATE("R",'Mapa final'!$A$16),"")</f>
        <v/>
      </c>
      <c r="Y6" s="356"/>
      <c r="Z6" s="356" t="str">
        <f>IF(AND('Mapa final'!$J$22="Muy Alta",'Mapa final'!$N$22="Moderado"),CONCATENATE("R",'Mapa final'!$A$22),"")</f>
        <v/>
      </c>
      <c r="AA6" s="358"/>
      <c r="AB6" s="355" t="str">
        <f ca="1">IF(AND('Mapa final'!$J$10="Muy Alta",'Mapa final'!$N$10="Mayor"),CONCATENATE("R",'Mapa final'!$A$10),"")</f>
        <v/>
      </c>
      <c r="AC6" s="356"/>
      <c r="AD6" s="356" t="str">
        <f>IF(AND('Mapa final'!$J$16="Muy Alta",'Mapa final'!$N$16="Mayor"),CONCATENATE("R",'Mapa final'!$A$16),"")</f>
        <v/>
      </c>
      <c r="AE6" s="356"/>
      <c r="AF6" s="356" t="str">
        <f>IF(AND('Mapa final'!$J$22="Muy Alta",'Mapa final'!$N$22="Mayor"),CONCATENATE("R",'Mapa final'!$A$22),"")</f>
        <v/>
      </c>
      <c r="AG6" s="358"/>
      <c r="AH6" s="370" t="str">
        <f ca="1">IF(AND('Mapa final'!$J$10="Muy Alta",'Mapa final'!$N$10="Catastrófico"),CONCATENATE("R",'Mapa final'!$A$10),"")</f>
        <v/>
      </c>
      <c r="AI6" s="371"/>
      <c r="AJ6" s="371" t="str">
        <f>IF(AND('Mapa final'!$J$16="Muy Alta",'Mapa final'!$N$16="Catastrófico"),CONCATENATE("R",'Mapa final'!$A$16),"")</f>
        <v/>
      </c>
      <c r="AK6" s="371"/>
      <c r="AL6" s="371" t="str">
        <f>IF(AND('Mapa final'!$J$22="Muy Alta",'Mapa final'!$N$22="Catastrófico"),CONCATENATE("R",'Mapa final'!$A$22),"")</f>
        <v/>
      </c>
      <c r="AM6" s="372"/>
      <c r="AO6" s="308" t="s">
        <v>77</v>
      </c>
      <c r="AP6" s="309"/>
      <c r="AQ6" s="309"/>
      <c r="AR6" s="309"/>
      <c r="AS6" s="309"/>
      <c r="AT6" s="310"/>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306"/>
      <c r="C7" s="306"/>
      <c r="D7" s="307"/>
      <c r="E7" s="347"/>
      <c r="F7" s="348"/>
      <c r="G7" s="348"/>
      <c r="H7" s="348"/>
      <c r="I7" s="349"/>
      <c r="J7" s="357"/>
      <c r="K7" s="353"/>
      <c r="L7" s="353"/>
      <c r="M7" s="353"/>
      <c r="N7" s="353"/>
      <c r="O7" s="354"/>
      <c r="P7" s="357"/>
      <c r="Q7" s="353"/>
      <c r="R7" s="353"/>
      <c r="S7" s="353"/>
      <c r="T7" s="353"/>
      <c r="U7" s="354"/>
      <c r="V7" s="357"/>
      <c r="W7" s="353"/>
      <c r="X7" s="353"/>
      <c r="Y7" s="353"/>
      <c r="Z7" s="353"/>
      <c r="AA7" s="354"/>
      <c r="AB7" s="357"/>
      <c r="AC7" s="353"/>
      <c r="AD7" s="353"/>
      <c r="AE7" s="353"/>
      <c r="AF7" s="353"/>
      <c r="AG7" s="354"/>
      <c r="AH7" s="364"/>
      <c r="AI7" s="365"/>
      <c r="AJ7" s="365"/>
      <c r="AK7" s="365"/>
      <c r="AL7" s="365"/>
      <c r="AM7" s="366"/>
      <c r="AN7" s="67"/>
      <c r="AO7" s="311"/>
      <c r="AP7" s="312"/>
      <c r="AQ7" s="312"/>
      <c r="AR7" s="312"/>
      <c r="AS7" s="312"/>
      <c r="AT7" s="313"/>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306"/>
      <c r="C8" s="306"/>
      <c r="D8" s="307"/>
      <c r="E8" s="347"/>
      <c r="F8" s="348"/>
      <c r="G8" s="348"/>
      <c r="H8" s="348"/>
      <c r="I8" s="349"/>
      <c r="J8" s="357" t="str">
        <f ca="1">IF(AND('Mapa final'!$J$28="Muy Alta",'Mapa final'!$N$28="Leve"),CONCATENATE("R",'Mapa final'!$A$28),"")</f>
        <v/>
      </c>
      <c r="K8" s="353"/>
      <c r="L8" s="353" t="str">
        <f ca="1">IF(AND('Mapa final'!$J$34="Muy Alta",'Mapa final'!$N$34="Leve"),CONCATENATE("R",'Mapa final'!$A$34),"")</f>
        <v/>
      </c>
      <c r="M8" s="353"/>
      <c r="N8" s="353" t="str">
        <f ca="1">IF(AND('Mapa final'!$J$40="Muy Alta",'Mapa final'!$N$40="Leve"),CONCATENATE("R",'Mapa final'!$A$40),"")</f>
        <v/>
      </c>
      <c r="O8" s="354"/>
      <c r="P8" s="357" t="str">
        <f ca="1">IF(AND('Mapa final'!$J$28="Muy Alta",'Mapa final'!$N$28="Menor"),CONCATENATE("R",'Mapa final'!$A$28),"")</f>
        <v/>
      </c>
      <c r="Q8" s="353"/>
      <c r="R8" s="353" t="str">
        <f ca="1">IF(AND('Mapa final'!$J$34="Muy Alta",'Mapa final'!$N$34="Menor"),CONCATENATE("R",'Mapa final'!$A$34),"")</f>
        <v/>
      </c>
      <c r="S8" s="353"/>
      <c r="T8" s="353" t="str">
        <f ca="1">IF(AND('Mapa final'!$J$40="Muy Alta",'Mapa final'!$N$40="Menor"),CONCATENATE("R",'Mapa final'!$A$40),"")</f>
        <v/>
      </c>
      <c r="U8" s="354"/>
      <c r="V8" s="357" t="str">
        <f ca="1">IF(AND('Mapa final'!$J$28="Muy Alta",'Mapa final'!$N$28="Moderado"),CONCATENATE("R",'Mapa final'!$A$28),"")</f>
        <v/>
      </c>
      <c r="W8" s="353"/>
      <c r="X8" s="353" t="str">
        <f ca="1">IF(AND('Mapa final'!$J$34="Muy Alta",'Mapa final'!$N$34="Moderado"),CONCATENATE("R",'Mapa final'!$A$34),"")</f>
        <v/>
      </c>
      <c r="Y8" s="353"/>
      <c r="Z8" s="353" t="str">
        <f ca="1">IF(AND('Mapa final'!$J$40="Muy Alta",'Mapa final'!$N$40="Moderado"),CONCATENATE("R",'Mapa final'!$A$40),"")</f>
        <v/>
      </c>
      <c r="AA8" s="354"/>
      <c r="AB8" s="357" t="str">
        <f ca="1">IF(AND('Mapa final'!$J$28="Muy Alta",'Mapa final'!$N$28="Mayor"),CONCATENATE("R",'Mapa final'!$A$28),"")</f>
        <v/>
      </c>
      <c r="AC8" s="353"/>
      <c r="AD8" s="353" t="str">
        <f ca="1">IF(AND('Mapa final'!$J$34="Muy Alta",'Mapa final'!$N$34="Mayor"),CONCATENATE("R",'Mapa final'!$A$34),"")</f>
        <v/>
      </c>
      <c r="AE8" s="353"/>
      <c r="AF8" s="353" t="str">
        <f ca="1">IF(AND('Mapa final'!$J$40="Muy Alta",'Mapa final'!$N$40="Mayor"),CONCATENATE("R",'Mapa final'!$A$40),"")</f>
        <v/>
      </c>
      <c r="AG8" s="354"/>
      <c r="AH8" s="364" t="str">
        <f ca="1">IF(AND('Mapa final'!$J$28="Muy Alta",'Mapa final'!$N$28="Catastrófico"),CONCATENATE("R",'Mapa final'!$A$28),"")</f>
        <v/>
      </c>
      <c r="AI8" s="365"/>
      <c r="AJ8" s="365" t="str">
        <f ca="1">IF(AND('Mapa final'!$J$34="Muy Alta",'Mapa final'!$N$34="Catastrófico"),CONCATENATE("R",'Mapa final'!$A$34),"")</f>
        <v/>
      </c>
      <c r="AK8" s="365"/>
      <c r="AL8" s="365" t="str">
        <f ca="1">IF(AND('Mapa final'!$J$40="Muy Alta",'Mapa final'!$N$40="Catastrófico"),CONCATENATE("R",'Mapa final'!$A$40),"")</f>
        <v/>
      </c>
      <c r="AM8" s="366"/>
      <c r="AN8" s="67"/>
      <c r="AO8" s="311"/>
      <c r="AP8" s="312"/>
      <c r="AQ8" s="312"/>
      <c r="AR8" s="312"/>
      <c r="AS8" s="312"/>
      <c r="AT8" s="313"/>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306"/>
      <c r="C9" s="306"/>
      <c r="D9" s="307"/>
      <c r="E9" s="347"/>
      <c r="F9" s="348"/>
      <c r="G9" s="348"/>
      <c r="H9" s="348"/>
      <c r="I9" s="349"/>
      <c r="J9" s="357"/>
      <c r="K9" s="353"/>
      <c r="L9" s="353"/>
      <c r="M9" s="353"/>
      <c r="N9" s="353"/>
      <c r="O9" s="354"/>
      <c r="P9" s="357"/>
      <c r="Q9" s="353"/>
      <c r="R9" s="353"/>
      <c r="S9" s="353"/>
      <c r="T9" s="353"/>
      <c r="U9" s="354"/>
      <c r="V9" s="357"/>
      <c r="W9" s="353"/>
      <c r="X9" s="353"/>
      <c r="Y9" s="353"/>
      <c r="Z9" s="353"/>
      <c r="AA9" s="354"/>
      <c r="AB9" s="357"/>
      <c r="AC9" s="353"/>
      <c r="AD9" s="353"/>
      <c r="AE9" s="353"/>
      <c r="AF9" s="353"/>
      <c r="AG9" s="354"/>
      <c r="AH9" s="364"/>
      <c r="AI9" s="365"/>
      <c r="AJ9" s="365"/>
      <c r="AK9" s="365"/>
      <c r="AL9" s="365"/>
      <c r="AM9" s="366"/>
      <c r="AN9" s="67"/>
      <c r="AO9" s="311"/>
      <c r="AP9" s="312"/>
      <c r="AQ9" s="312"/>
      <c r="AR9" s="312"/>
      <c r="AS9" s="312"/>
      <c r="AT9" s="313"/>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306"/>
      <c r="C10" s="306"/>
      <c r="D10" s="307"/>
      <c r="E10" s="347"/>
      <c r="F10" s="348"/>
      <c r="G10" s="348"/>
      <c r="H10" s="348"/>
      <c r="I10" s="349"/>
      <c r="J10" s="357" t="str">
        <f ca="1">IF(AND('Mapa final'!$J$46="Muy Alta",'Mapa final'!$N$46="Leve"),CONCATENATE("R",'Mapa final'!$A$46),"")</f>
        <v/>
      </c>
      <c r="K10" s="353"/>
      <c r="L10" s="353" t="str">
        <f ca="1">IF(AND('Mapa final'!$J$52="Muy Alta",'Mapa final'!$N$52="Leve"),CONCATENATE("R",'Mapa final'!$A$52),"")</f>
        <v/>
      </c>
      <c r="M10" s="353"/>
      <c r="N10" s="353" t="str">
        <f ca="1">IF(AND('Mapa final'!$J$58="Muy Alta",'Mapa final'!$N$58="Leve"),CONCATENATE("R",'Mapa final'!$A$58),"")</f>
        <v/>
      </c>
      <c r="O10" s="354"/>
      <c r="P10" s="357" t="str">
        <f ca="1">IF(AND('Mapa final'!$J$46="Muy Alta",'Mapa final'!$N$46="Menor"),CONCATENATE("R",'Mapa final'!$A$46),"")</f>
        <v/>
      </c>
      <c r="Q10" s="353"/>
      <c r="R10" s="353" t="str">
        <f ca="1">IF(AND('Mapa final'!$J$52="Muy Alta",'Mapa final'!$N$52="Menor"),CONCATENATE("R",'Mapa final'!$A$52),"")</f>
        <v/>
      </c>
      <c r="S10" s="353"/>
      <c r="T10" s="353" t="str">
        <f ca="1">IF(AND('Mapa final'!$J$58="Muy Alta",'Mapa final'!$N$58="Menor"),CONCATENATE("R",'Mapa final'!$A$58),"")</f>
        <v/>
      </c>
      <c r="U10" s="354"/>
      <c r="V10" s="357" t="str">
        <f ca="1">IF(AND('Mapa final'!$J$46="Muy Alta",'Mapa final'!$N$46="Moderado"),CONCATENATE("R",'Mapa final'!$A$46),"")</f>
        <v/>
      </c>
      <c r="W10" s="353"/>
      <c r="X10" s="353" t="str">
        <f ca="1">IF(AND('Mapa final'!$J$52="Muy Alta",'Mapa final'!$N$52="Moderado"),CONCATENATE("R",'Mapa final'!$A$52),"")</f>
        <v/>
      </c>
      <c r="Y10" s="353"/>
      <c r="Z10" s="353" t="str">
        <f ca="1">IF(AND('Mapa final'!$J$58="Muy Alta",'Mapa final'!$N$58="Moderado"),CONCATENATE("R",'Mapa final'!$A$58),"")</f>
        <v/>
      </c>
      <c r="AA10" s="354"/>
      <c r="AB10" s="357" t="str">
        <f ca="1">IF(AND('Mapa final'!$J$46="Muy Alta",'Mapa final'!$N$46="Mayor"),CONCATENATE("R",'Mapa final'!$A$46),"")</f>
        <v/>
      </c>
      <c r="AC10" s="353"/>
      <c r="AD10" s="353" t="str">
        <f ca="1">IF(AND('Mapa final'!$J$52="Muy Alta",'Mapa final'!$N$52="Mayor"),CONCATENATE("R",'Mapa final'!$A$52),"")</f>
        <v/>
      </c>
      <c r="AE10" s="353"/>
      <c r="AF10" s="353" t="str">
        <f ca="1">IF(AND('Mapa final'!$J$58="Muy Alta",'Mapa final'!$N$58="Mayor"),CONCATENATE("R",'Mapa final'!$A$58),"")</f>
        <v/>
      </c>
      <c r="AG10" s="354"/>
      <c r="AH10" s="364" t="str">
        <f ca="1">IF(AND('Mapa final'!$J$46="Muy Alta",'Mapa final'!$N$46="Catastrófico"),CONCATENATE("R",'Mapa final'!$A$46),"")</f>
        <v/>
      </c>
      <c r="AI10" s="365"/>
      <c r="AJ10" s="365" t="str">
        <f ca="1">IF(AND('Mapa final'!$J$52="Muy Alta",'Mapa final'!$N$52="Catastrófico"),CONCATENATE("R",'Mapa final'!$A$52),"")</f>
        <v/>
      </c>
      <c r="AK10" s="365"/>
      <c r="AL10" s="365" t="str">
        <f ca="1">IF(AND('Mapa final'!$J$58="Muy Alta",'Mapa final'!$N$58="Catastrófico"),CONCATENATE("R",'Mapa final'!$A$58),"")</f>
        <v/>
      </c>
      <c r="AM10" s="366"/>
      <c r="AN10" s="67"/>
      <c r="AO10" s="311"/>
      <c r="AP10" s="312"/>
      <c r="AQ10" s="312"/>
      <c r="AR10" s="312"/>
      <c r="AS10" s="312"/>
      <c r="AT10" s="313"/>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306"/>
      <c r="C11" s="306"/>
      <c r="D11" s="307"/>
      <c r="E11" s="347"/>
      <c r="F11" s="348"/>
      <c r="G11" s="348"/>
      <c r="H11" s="348"/>
      <c r="I11" s="349"/>
      <c r="J11" s="357"/>
      <c r="K11" s="353"/>
      <c r="L11" s="353"/>
      <c r="M11" s="353"/>
      <c r="N11" s="353"/>
      <c r="O11" s="354"/>
      <c r="P11" s="357"/>
      <c r="Q11" s="353"/>
      <c r="R11" s="353"/>
      <c r="S11" s="353"/>
      <c r="T11" s="353"/>
      <c r="U11" s="354"/>
      <c r="V11" s="357"/>
      <c r="W11" s="353"/>
      <c r="X11" s="353"/>
      <c r="Y11" s="353"/>
      <c r="Z11" s="353"/>
      <c r="AA11" s="354"/>
      <c r="AB11" s="357"/>
      <c r="AC11" s="353"/>
      <c r="AD11" s="353"/>
      <c r="AE11" s="353"/>
      <c r="AF11" s="353"/>
      <c r="AG11" s="354"/>
      <c r="AH11" s="364"/>
      <c r="AI11" s="365"/>
      <c r="AJ11" s="365"/>
      <c r="AK11" s="365"/>
      <c r="AL11" s="365"/>
      <c r="AM11" s="366"/>
      <c r="AN11" s="67"/>
      <c r="AO11" s="311"/>
      <c r="AP11" s="312"/>
      <c r="AQ11" s="312"/>
      <c r="AR11" s="312"/>
      <c r="AS11" s="312"/>
      <c r="AT11" s="313"/>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306"/>
      <c r="C12" s="306"/>
      <c r="D12" s="307"/>
      <c r="E12" s="347"/>
      <c r="F12" s="348"/>
      <c r="G12" s="348"/>
      <c r="H12" s="348"/>
      <c r="I12" s="349"/>
      <c r="J12" s="357" t="str">
        <f ca="1">IF(AND('Mapa final'!$J$64="Muy Alta",'Mapa final'!$N$64="Leve"),CONCATENATE("R",'Mapa final'!$A$64),"")</f>
        <v/>
      </c>
      <c r="K12" s="353"/>
      <c r="L12" s="353" t="str">
        <f>IF(AND('Mapa final'!$J$70="Muy Alta",'Mapa final'!$N$70="Leve"),CONCATENATE("R",'Mapa final'!$A$70),"")</f>
        <v/>
      </c>
      <c r="M12" s="353"/>
      <c r="N12" s="353" t="str">
        <f>IF(AND('Mapa final'!$J$76="Muy Alta",'Mapa final'!$N$76="Leve"),CONCATENATE("R",'Mapa final'!$A$76),"")</f>
        <v/>
      </c>
      <c r="O12" s="354"/>
      <c r="P12" s="357" t="str">
        <f ca="1">IF(AND('Mapa final'!$J$64="Muy Alta",'Mapa final'!$N$64="Menor"),CONCATENATE("R",'Mapa final'!$A$64),"")</f>
        <v/>
      </c>
      <c r="Q12" s="353"/>
      <c r="R12" s="353" t="str">
        <f>IF(AND('Mapa final'!$J$70="Muy Alta",'Mapa final'!$N$70="Menor"),CONCATENATE("R",'Mapa final'!$A$70),"")</f>
        <v/>
      </c>
      <c r="S12" s="353"/>
      <c r="T12" s="353" t="str">
        <f>IF(AND('Mapa final'!$J$76="Muy Alta",'Mapa final'!$N$76="Menor"),CONCATENATE("R",'Mapa final'!$A$76),"")</f>
        <v/>
      </c>
      <c r="U12" s="354"/>
      <c r="V12" s="357" t="str">
        <f ca="1">IF(AND('Mapa final'!$J$64="Muy Alta",'Mapa final'!$N$64="Moderado"),CONCATENATE("R",'Mapa final'!$A$64),"")</f>
        <v/>
      </c>
      <c r="W12" s="353"/>
      <c r="X12" s="353" t="str">
        <f>IF(AND('Mapa final'!$J$70="Muy Alta",'Mapa final'!$N$70="Moderado"),CONCATENATE("R",'Mapa final'!$A$70),"")</f>
        <v/>
      </c>
      <c r="Y12" s="353"/>
      <c r="Z12" s="353" t="str">
        <f>IF(AND('Mapa final'!$J$76="Muy Alta",'Mapa final'!$N$76="Moderado"),CONCATENATE("R",'Mapa final'!$A$76),"")</f>
        <v/>
      </c>
      <c r="AA12" s="354"/>
      <c r="AB12" s="357" t="str">
        <f ca="1">IF(AND('Mapa final'!$J$64="Muy Alta",'Mapa final'!$N$64="Mayor"),CONCATENATE("R",'Mapa final'!$A$64),"")</f>
        <v/>
      </c>
      <c r="AC12" s="353"/>
      <c r="AD12" s="353" t="str">
        <f>IF(AND('Mapa final'!$J$70="Muy Alta",'Mapa final'!$N$70="Mayor"),CONCATENATE("R",'Mapa final'!$A$70),"")</f>
        <v/>
      </c>
      <c r="AE12" s="353"/>
      <c r="AF12" s="353" t="str">
        <f>IF(AND('Mapa final'!$J$76="Muy Alta",'Mapa final'!$N$76="Mayor"),CONCATENATE("R",'Mapa final'!$A$76),"")</f>
        <v/>
      </c>
      <c r="AG12" s="354"/>
      <c r="AH12" s="364" t="str">
        <f ca="1">IF(AND('Mapa final'!$J$64="Muy Alta",'Mapa final'!$N$64="Catastrófico"),CONCATENATE("R",'Mapa final'!$A$64),"")</f>
        <v/>
      </c>
      <c r="AI12" s="365"/>
      <c r="AJ12" s="365" t="str">
        <f>IF(AND('Mapa final'!$J$70="Muy Alta",'Mapa final'!$N$70="Catastrófico"),CONCATENATE("R",'Mapa final'!$A$70),"")</f>
        <v/>
      </c>
      <c r="AK12" s="365"/>
      <c r="AL12" s="365" t="str">
        <f>IF(AND('Mapa final'!$J$76="Muy Alta",'Mapa final'!$N$76="Catastrófico"),CONCATENATE("R",'Mapa final'!$A$76),"")</f>
        <v/>
      </c>
      <c r="AM12" s="366"/>
      <c r="AN12" s="67"/>
      <c r="AO12" s="311"/>
      <c r="AP12" s="312"/>
      <c r="AQ12" s="312"/>
      <c r="AR12" s="312"/>
      <c r="AS12" s="312"/>
      <c r="AT12" s="313"/>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306"/>
      <c r="C13" s="306"/>
      <c r="D13" s="307"/>
      <c r="E13" s="350"/>
      <c r="F13" s="351"/>
      <c r="G13" s="351"/>
      <c r="H13" s="351"/>
      <c r="I13" s="352"/>
      <c r="J13" s="357"/>
      <c r="K13" s="353"/>
      <c r="L13" s="353"/>
      <c r="M13" s="353"/>
      <c r="N13" s="353"/>
      <c r="O13" s="354"/>
      <c r="P13" s="357"/>
      <c r="Q13" s="353"/>
      <c r="R13" s="353"/>
      <c r="S13" s="353"/>
      <c r="T13" s="353"/>
      <c r="U13" s="354"/>
      <c r="V13" s="357"/>
      <c r="W13" s="353"/>
      <c r="X13" s="353"/>
      <c r="Y13" s="353"/>
      <c r="Z13" s="353"/>
      <c r="AA13" s="354"/>
      <c r="AB13" s="357"/>
      <c r="AC13" s="353"/>
      <c r="AD13" s="353"/>
      <c r="AE13" s="353"/>
      <c r="AF13" s="353"/>
      <c r="AG13" s="354"/>
      <c r="AH13" s="367"/>
      <c r="AI13" s="368"/>
      <c r="AJ13" s="368"/>
      <c r="AK13" s="368"/>
      <c r="AL13" s="368"/>
      <c r="AM13" s="369"/>
      <c r="AN13" s="67"/>
      <c r="AO13" s="314"/>
      <c r="AP13" s="315"/>
      <c r="AQ13" s="315"/>
      <c r="AR13" s="315"/>
      <c r="AS13" s="315"/>
      <c r="AT13" s="316"/>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306"/>
      <c r="C14" s="306"/>
      <c r="D14" s="307"/>
      <c r="E14" s="344" t="s">
        <v>109</v>
      </c>
      <c r="F14" s="345"/>
      <c r="G14" s="345"/>
      <c r="H14" s="345"/>
      <c r="I14" s="345"/>
      <c r="J14" s="379" t="str">
        <f ca="1">IF(AND('Mapa final'!$J$10="Alta",'Mapa final'!$N$10="Leve"),CONCATENATE("R",'Mapa final'!$A$10),"")</f>
        <v/>
      </c>
      <c r="K14" s="380"/>
      <c r="L14" s="380" t="str">
        <f>IF(AND('Mapa final'!$J$16="Alta",'Mapa final'!$N$16="Leve"),CONCATENATE("R",'Mapa final'!$A$16),"")</f>
        <v/>
      </c>
      <c r="M14" s="380"/>
      <c r="N14" s="380" t="str">
        <f>IF(AND('Mapa final'!$J$22="Alta",'Mapa final'!$N$22="Leve"),CONCATENATE("R",'Mapa final'!$A$22),"")</f>
        <v/>
      </c>
      <c r="O14" s="381"/>
      <c r="P14" s="379" t="str">
        <f ca="1">IF(AND('Mapa final'!$J$10="Alta",'Mapa final'!$N$10="Menor"),CONCATENATE("R",'Mapa final'!$A$10),"")</f>
        <v/>
      </c>
      <c r="Q14" s="380"/>
      <c r="R14" s="380" t="str">
        <f>IF(AND('Mapa final'!$J$16="Alta",'Mapa final'!$N$16="Menor"),CONCATENATE("R",'Mapa final'!$A$16),"")</f>
        <v/>
      </c>
      <c r="S14" s="380"/>
      <c r="T14" s="380" t="str">
        <f>IF(AND('Mapa final'!$J$22="Alta",'Mapa final'!$N$22="Menor"),CONCATENATE("R",'Mapa final'!$A$22),"")</f>
        <v/>
      </c>
      <c r="U14" s="381"/>
      <c r="V14" s="355" t="str">
        <f ca="1">IF(AND('Mapa final'!$J$10="Alta",'Mapa final'!$N$10="Moderado"),CONCATENATE("R",'Mapa final'!$A$10),"")</f>
        <v/>
      </c>
      <c r="W14" s="356"/>
      <c r="X14" s="356" t="str">
        <f>IF(AND('Mapa final'!$J$16="Alta",'Mapa final'!$N$16="Moderado"),CONCATENATE("R",'Mapa final'!$A$16),"")</f>
        <v/>
      </c>
      <c r="Y14" s="356"/>
      <c r="Z14" s="356" t="str">
        <f>IF(AND('Mapa final'!$J$22="Alta",'Mapa final'!$N$22="Moderado"),CONCATENATE("R",'Mapa final'!$A$22),"")</f>
        <v/>
      </c>
      <c r="AA14" s="358"/>
      <c r="AB14" s="355" t="str">
        <f ca="1">IF(AND('Mapa final'!$J$10="Alta",'Mapa final'!$N$10="Mayor"),CONCATENATE("R",'Mapa final'!$A$10),"")</f>
        <v/>
      </c>
      <c r="AC14" s="356"/>
      <c r="AD14" s="356" t="str">
        <f>IF(AND('Mapa final'!$J$16="Alta",'Mapa final'!$N$16="Mayor"),CONCATENATE("R",'Mapa final'!$A$16),"")</f>
        <v/>
      </c>
      <c r="AE14" s="356"/>
      <c r="AF14" s="356" t="str">
        <f>IF(AND('Mapa final'!$J$22="Alta",'Mapa final'!$N$22="Mayor"),CONCATENATE("R",'Mapa final'!$A$22),"")</f>
        <v/>
      </c>
      <c r="AG14" s="358"/>
      <c r="AH14" s="370" t="str">
        <f ca="1">IF(AND('Mapa final'!$J$10="Alta",'Mapa final'!$N$10="Catastrófico"),CONCATENATE("R",'Mapa final'!$A$10),"")</f>
        <v/>
      </c>
      <c r="AI14" s="371"/>
      <c r="AJ14" s="371" t="str">
        <f>IF(AND('Mapa final'!$J$16="Alta",'Mapa final'!$N$16="Catastrófico"),CONCATENATE("R",'Mapa final'!$A$16),"")</f>
        <v/>
      </c>
      <c r="AK14" s="371"/>
      <c r="AL14" s="371" t="str">
        <f>IF(AND('Mapa final'!$J$22="Alta",'Mapa final'!$N$22="Catastrófico"),CONCATENATE("R",'Mapa final'!$A$22),"")</f>
        <v/>
      </c>
      <c r="AM14" s="372"/>
      <c r="AN14" s="67"/>
      <c r="AO14" s="317" t="s">
        <v>78</v>
      </c>
      <c r="AP14" s="318"/>
      <c r="AQ14" s="318"/>
      <c r="AR14" s="318"/>
      <c r="AS14" s="318"/>
      <c r="AT14" s="319"/>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306"/>
      <c r="C15" s="306"/>
      <c r="D15" s="307"/>
      <c r="E15" s="347"/>
      <c r="F15" s="348"/>
      <c r="G15" s="348"/>
      <c r="H15" s="348"/>
      <c r="I15" s="348"/>
      <c r="J15" s="373"/>
      <c r="K15" s="374"/>
      <c r="L15" s="374"/>
      <c r="M15" s="374"/>
      <c r="N15" s="374"/>
      <c r="O15" s="375"/>
      <c r="P15" s="373"/>
      <c r="Q15" s="374"/>
      <c r="R15" s="374"/>
      <c r="S15" s="374"/>
      <c r="T15" s="374"/>
      <c r="U15" s="375"/>
      <c r="V15" s="357"/>
      <c r="W15" s="353"/>
      <c r="X15" s="353"/>
      <c r="Y15" s="353"/>
      <c r="Z15" s="353"/>
      <c r="AA15" s="354"/>
      <c r="AB15" s="357"/>
      <c r="AC15" s="353"/>
      <c r="AD15" s="353"/>
      <c r="AE15" s="353"/>
      <c r="AF15" s="353"/>
      <c r="AG15" s="354"/>
      <c r="AH15" s="364"/>
      <c r="AI15" s="365"/>
      <c r="AJ15" s="365"/>
      <c r="AK15" s="365"/>
      <c r="AL15" s="365"/>
      <c r="AM15" s="366"/>
      <c r="AN15" s="67"/>
      <c r="AO15" s="320"/>
      <c r="AP15" s="321"/>
      <c r="AQ15" s="321"/>
      <c r="AR15" s="321"/>
      <c r="AS15" s="321"/>
      <c r="AT15" s="322"/>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306"/>
      <c r="C16" s="306"/>
      <c r="D16" s="307"/>
      <c r="E16" s="347"/>
      <c r="F16" s="348"/>
      <c r="G16" s="348"/>
      <c r="H16" s="348"/>
      <c r="I16" s="348"/>
      <c r="J16" s="373" t="str">
        <f ca="1">IF(AND('Mapa final'!$J$28="Alta",'Mapa final'!$N$28="Leve"),CONCATENATE("R",'Mapa final'!$A$28),"")</f>
        <v/>
      </c>
      <c r="K16" s="374"/>
      <c r="L16" s="374" t="str">
        <f ca="1">IF(AND('Mapa final'!$J$34="Alta",'Mapa final'!$N$34="Leve"),CONCATENATE("R",'Mapa final'!$A$34),"")</f>
        <v/>
      </c>
      <c r="M16" s="374"/>
      <c r="N16" s="374" t="str">
        <f ca="1">IF(AND('Mapa final'!$J$40="Alta",'Mapa final'!$N$40="Leve"),CONCATENATE("R",'Mapa final'!$A$40),"")</f>
        <v/>
      </c>
      <c r="O16" s="375"/>
      <c r="P16" s="373" t="str">
        <f ca="1">IF(AND('Mapa final'!$J$28="Alta",'Mapa final'!$N$28="Menor"),CONCATENATE("R",'Mapa final'!$A$28),"")</f>
        <v/>
      </c>
      <c r="Q16" s="374"/>
      <c r="R16" s="374" t="str">
        <f ca="1">IF(AND('Mapa final'!$J$34="Alta",'Mapa final'!$N$34="Menor"),CONCATENATE("R",'Mapa final'!$A$34),"")</f>
        <v/>
      </c>
      <c r="S16" s="374"/>
      <c r="T16" s="374" t="str">
        <f ca="1">IF(AND('Mapa final'!$J$40="Alta",'Mapa final'!$N$40="Menor"),CONCATENATE("R",'Mapa final'!$A$40),"")</f>
        <v/>
      </c>
      <c r="U16" s="375"/>
      <c r="V16" s="357" t="str">
        <f ca="1">IF(AND('Mapa final'!$J$28="Alta",'Mapa final'!$N$28="Moderado"),CONCATENATE("R",'Mapa final'!$A$28),"")</f>
        <v/>
      </c>
      <c r="W16" s="353"/>
      <c r="X16" s="353" t="str">
        <f ca="1">IF(AND('Mapa final'!$J$34="Alta",'Mapa final'!$N$34="Moderado"),CONCATENATE("R",'Mapa final'!$A$34),"")</f>
        <v/>
      </c>
      <c r="Y16" s="353"/>
      <c r="Z16" s="353" t="str">
        <f ca="1">IF(AND('Mapa final'!$J$40="Alta",'Mapa final'!$N$40="Moderado"),CONCATENATE("R",'Mapa final'!$A$40),"")</f>
        <v/>
      </c>
      <c r="AA16" s="354"/>
      <c r="AB16" s="357" t="str">
        <f ca="1">IF(AND('Mapa final'!$J$28="Alta",'Mapa final'!$N$28="Mayor"),CONCATENATE("R",'Mapa final'!$A$28),"")</f>
        <v/>
      </c>
      <c r="AC16" s="353"/>
      <c r="AD16" s="353" t="str">
        <f ca="1">IF(AND('Mapa final'!$J$34="Alta",'Mapa final'!$N$34="Mayor"),CONCATENATE("R",'Mapa final'!$A$34),"")</f>
        <v/>
      </c>
      <c r="AE16" s="353"/>
      <c r="AF16" s="353" t="str">
        <f ca="1">IF(AND('Mapa final'!$J$40="Alta",'Mapa final'!$N$40="Mayor"),CONCATENATE("R",'Mapa final'!$A$40),"")</f>
        <v/>
      </c>
      <c r="AG16" s="354"/>
      <c r="AH16" s="364" t="str">
        <f ca="1">IF(AND('Mapa final'!$J$28="Alta",'Mapa final'!$N$28="Catastrófico"),CONCATENATE("R",'Mapa final'!$A$28),"")</f>
        <v/>
      </c>
      <c r="AI16" s="365"/>
      <c r="AJ16" s="365" t="str">
        <f ca="1">IF(AND('Mapa final'!$J$34="Alta",'Mapa final'!$N$34="Catastrófico"),CONCATENATE("R",'Mapa final'!$A$34),"")</f>
        <v/>
      </c>
      <c r="AK16" s="365"/>
      <c r="AL16" s="365" t="str">
        <f ca="1">IF(AND('Mapa final'!$J$40="Alta",'Mapa final'!$N$40="Catastrófico"),CONCATENATE("R",'Mapa final'!$A$40),"")</f>
        <v/>
      </c>
      <c r="AM16" s="366"/>
      <c r="AN16" s="67"/>
      <c r="AO16" s="320"/>
      <c r="AP16" s="321"/>
      <c r="AQ16" s="321"/>
      <c r="AR16" s="321"/>
      <c r="AS16" s="321"/>
      <c r="AT16" s="322"/>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306"/>
      <c r="C17" s="306"/>
      <c r="D17" s="307"/>
      <c r="E17" s="347"/>
      <c r="F17" s="348"/>
      <c r="G17" s="348"/>
      <c r="H17" s="348"/>
      <c r="I17" s="348"/>
      <c r="J17" s="373"/>
      <c r="K17" s="374"/>
      <c r="L17" s="374"/>
      <c r="M17" s="374"/>
      <c r="N17" s="374"/>
      <c r="O17" s="375"/>
      <c r="P17" s="373"/>
      <c r="Q17" s="374"/>
      <c r="R17" s="374"/>
      <c r="S17" s="374"/>
      <c r="T17" s="374"/>
      <c r="U17" s="375"/>
      <c r="V17" s="357"/>
      <c r="W17" s="353"/>
      <c r="X17" s="353"/>
      <c r="Y17" s="353"/>
      <c r="Z17" s="353"/>
      <c r="AA17" s="354"/>
      <c r="AB17" s="357"/>
      <c r="AC17" s="353"/>
      <c r="AD17" s="353"/>
      <c r="AE17" s="353"/>
      <c r="AF17" s="353"/>
      <c r="AG17" s="354"/>
      <c r="AH17" s="364"/>
      <c r="AI17" s="365"/>
      <c r="AJ17" s="365"/>
      <c r="AK17" s="365"/>
      <c r="AL17" s="365"/>
      <c r="AM17" s="366"/>
      <c r="AN17" s="67"/>
      <c r="AO17" s="320"/>
      <c r="AP17" s="321"/>
      <c r="AQ17" s="321"/>
      <c r="AR17" s="321"/>
      <c r="AS17" s="321"/>
      <c r="AT17" s="32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306"/>
      <c r="C18" s="306"/>
      <c r="D18" s="307"/>
      <c r="E18" s="347"/>
      <c r="F18" s="348"/>
      <c r="G18" s="348"/>
      <c r="H18" s="348"/>
      <c r="I18" s="348"/>
      <c r="J18" s="373" t="str">
        <f ca="1">IF(AND('Mapa final'!$J$46="Alta",'Mapa final'!$N$46="Leve"),CONCATENATE("R",'Mapa final'!$A$46),"")</f>
        <v/>
      </c>
      <c r="K18" s="374"/>
      <c r="L18" s="374" t="str">
        <f ca="1">IF(AND('Mapa final'!$J$52="Alta",'Mapa final'!$N$52="Leve"),CONCATENATE("R",'Mapa final'!$A$52),"")</f>
        <v/>
      </c>
      <c r="M18" s="374"/>
      <c r="N18" s="374" t="str">
        <f ca="1">IF(AND('Mapa final'!$J$58="Alta",'Mapa final'!$N$58="Leve"),CONCATENATE("R",'Mapa final'!$A$58),"")</f>
        <v/>
      </c>
      <c r="O18" s="375"/>
      <c r="P18" s="373" t="str">
        <f ca="1">IF(AND('Mapa final'!$J$46="Alta",'Mapa final'!$N$46="Menor"),CONCATENATE("R",'Mapa final'!$A$46),"")</f>
        <v/>
      </c>
      <c r="Q18" s="374"/>
      <c r="R18" s="374" t="str">
        <f ca="1">IF(AND('Mapa final'!$J$52="Alta",'Mapa final'!$N$52="Menor"),CONCATENATE("R",'Mapa final'!$A$52),"")</f>
        <v/>
      </c>
      <c r="S18" s="374"/>
      <c r="T18" s="374" t="str">
        <f ca="1">IF(AND('Mapa final'!$J$58="Alta",'Mapa final'!$N$58="Menor"),CONCATENATE("R",'Mapa final'!$A$58),"")</f>
        <v/>
      </c>
      <c r="U18" s="375"/>
      <c r="V18" s="357" t="str">
        <f ca="1">IF(AND('Mapa final'!$J$46="Alta",'Mapa final'!$N$46="Moderado"),CONCATENATE("R",'Mapa final'!$A$46),"")</f>
        <v/>
      </c>
      <c r="W18" s="353"/>
      <c r="X18" s="353" t="str">
        <f ca="1">IF(AND('Mapa final'!$J$52="Alta",'Mapa final'!$N$52="Moderado"),CONCATENATE("R",'Mapa final'!$A$52),"")</f>
        <v/>
      </c>
      <c r="Y18" s="353"/>
      <c r="Z18" s="353" t="str">
        <f ca="1">IF(AND('Mapa final'!$J$58="Alta",'Mapa final'!$N$58="Moderado"),CONCATENATE("R",'Mapa final'!$A$58),"")</f>
        <v/>
      </c>
      <c r="AA18" s="354"/>
      <c r="AB18" s="357" t="str">
        <f ca="1">IF(AND('Mapa final'!$J$46="Alta",'Mapa final'!$N$46="Mayor"),CONCATENATE("R",'Mapa final'!$A$46),"")</f>
        <v/>
      </c>
      <c r="AC18" s="353"/>
      <c r="AD18" s="353" t="str">
        <f ca="1">IF(AND('Mapa final'!$J$52="Alta",'Mapa final'!$N$52="Mayor"),CONCATENATE("R",'Mapa final'!$A$52),"")</f>
        <v/>
      </c>
      <c r="AE18" s="353"/>
      <c r="AF18" s="353" t="str">
        <f ca="1">IF(AND('Mapa final'!$J$58="Alta",'Mapa final'!$N$58="Mayor"),CONCATENATE("R",'Mapa final'!$A$58),"")</f>
        <v/>
      </c>
      <c r="AG18" s="354"/>
      <c r="AH18" s="364" t="str">
        <f ca="1">IF(AND('Mapa final'!$J$46="Alta",'Mapa final'!$N$46="Catastrófico"),CONCATENATE("R",'Mapa final'!$A$46),"")</f>
        <v/>
      </c>
      <c r="AI18" s="365"/>
      <c r="AJ18" s="365" t="str">
        <f ca="1">IF(AND('Mapa final'!$J$52="Alta",'Mapa final'!$N$52="Catastrófico"),CONCATENATE("R",'Mapa final'!$A$52),"")</f>
        <v/>
      </c>
      <c r="AK18" s="365"/>
      <c r="AL18" s="365" t="str">
        <f ca="1">IF(AND('Mapa final'!$J$58="Alta",'Mapa final'!$N$58="Catastrófico"),CONCATENATE("R",'Mapa final'!$A$58),"")</f>
        <v/>
      </c>
      <c r="AM18" s="366"/>
      <c r="AN18" s="67"/>
      <c r="AO18" s="320"/>
      <c r="AP18" s="321"/>
      <c r="AQ18" s="321"/>
      <c r="AR18" s="321"/>
      <c r="AS18" s="321"/>
      <c r="AT18" s="322"/>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306"/>
      <c r="C19" s="306"/>
      <c r="D19" s="307"/>
      <c r="E19" s="347"/>
      <c r="F19" s="348"/>
      <c r="G19" s="348"/>
      <c r="H19" s="348"/>
      <c r="I19" s="348"/>
      <c r="J19" s="373"/>
      <c r="K19" s="374"/>
      <c r="L19" s="374"/>
      <c r="M19" s="374"/>
      <c r="N19" s="374"/>
      <c r="O19" s="375"/>
      <c r="P19" s="373"/>
      <c r="Q19" s="374"/>
      <c r="R19" s="374"/>
      <c r="S19" s="374"/>
      <c r="T19" s="374"/>
      <c r="U19" s="375"/>
      <c r="V19" s="357"/>
      <c r="W19" s="353"/>
      <c r="X19" s="353"/>
      <c r="Y19" s="353"/>
      <c r="Z19" s="353"/>
      <c r="AA19" s="354"/>
      <c r="AB19" s="357"/>
      <c r="AC19" s="353"/>
      <c r="AD19" s="353"/>
      <c r="AE19" s="353"/>
      <c r="AF19" s="353"/>
      <c r="AG19" s="354"/>
      <c r="AH19" s="364"/>
      <c r="AI19" s="365"/>
      <c r="AJ19" s="365"/>
      <c r="AK19" s="365"/>
      <c r="AL19" s="365"/>
      <c r="AM19" s="366"/>
      <c r="AN19" s="67"/>
      <c r="AO19" s="320"/>
      <c r="AP19" s="321"/>
      <c r="AQ19" s="321"/>
      <c r="AR19" s="321"/>
      <c r="AS19" s="321"/>
      <c r="AT19" s="322"/>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306"/>
      <c r="C20" s="306"/>
      <c r="D20" s="307"/>
      <c r="E20" s="347"/>
      <c r="F20" s="348"/>
      <c r="G20" s="348"/>
      <c r="H20" s="348"/>
      <c r="I20" s="348"/>
      <c r="J20" s="373" t="str">
        <f ca="1">IF(AND('Mapa final'!$J$64="Alta",'Mapa final'!$N$64="Leve"),CONCATENATE("R",'Mapa final'!$A$64),"")</f>
        <v/>
      </c>
      <c r="K20" s="374"/>
      <c r="L20" s="374" t="str">
        <f>IF(AND('Mapa final'!$J$70="Alta",'Mapa final'!$N$70="Leve"),CONCATENATE("R",'Mapa final'!$A$70),"")</f>
        <v/>
      </c>
      <c r="M20" s="374"/>
      <c r="N20" s="374" t="str">
        <f>IF(AND('Mapa final'!$J$76="Alta",'Mapa final'!$N$76="Leve"),CONCATENATE("R",'Mapa final'!$A$76),"")</f>
        <v/>
      </c>
      <c r="O20" s="375"/>
      <c r="P20" s="373" t="str">
        <f ca="1">IF(AND('Mapa final'!$J$64="Alta",'Mapa final'!$N$64="Menor"),CONCATENATE("R",'Mapa final'!$A$64),"")</f>
        <v/>
      </c>
      <c r="Q20" s="374"/>
      <c r="R20" s="374" t="str">
        <f>IF(AND('Mapa final'!$J$70="Alta",'Mapa final'!$N$70="Menor"),CONCATENATE("R",'Mapa final'!$A$70),"")</f>
        <v/>
      </c>
      <c r="S20" s="374"/>
      <c r="T20" s="374" t="str">
        <f>IF(AND('Mapa final'!$J$76="Alta",'Mapa final'!$N$76="Menor"),CONCATENATE("R",'Mapa final'!$A$76),"")</f>
        <v/>
      </c>
      <c r="U20" s="375"/>
      <c r="V20" s="357" t="str">
        <f ca="1">IF(AND('Mapa final'!$J$64="Alta",'Mapa final'!$N$64="Moderado"),CONCATENATE("R",'Mapa final'!$A$64),"")</f>
        <v/>
      </c>
      <c r="W20" s="353"/>
      <c r="X20" s="353" t="str">
        <f>IF(AND('Mapa final'!$J$70="Alta",'Mapa final'!$N$70="Moderado"),CONCATENATE("R",'Mapa final'!$A$70),"")</f>
        <v/>
      </c>
      <c r="Y20" s="353"/>
      <c r="Z20" s="353" t="str">
        <f>IF(AND('Mapa final'!$J$76="Alta",'Mapa final'!$N$76="Moderado"),CONCATENATE("R",'Mapa final'!$A$76),"")</f>
        <v/>
      </c>
      <c r="AA20" s="354"/>
      <c r="AB20" s="357" t="str">
        <f ca="1">IF(AND('Mapa final'!$J$64="Alta",'Mapa final'!$N$64="Mayor"),CONCATENATE("R",'Mapa final'!$A$64),"")</f>
        <v/>
      </c>
      <c r="AC20" s="353"/>
      <c r="AD20" s="353" t="str">
        <f>IF(AND('Mapa final'!$J$70="Alta",'Mapa final'!$N$70="Mayor"),CONCATENATE("R",'Mapa final'!$A$70),"")</f>
        <v/>
      </c>
      <c r="AE20" s="353"/>
      <c r="AF20" s="353" t="str">
        <f>IF(AND('Mapa final'!$J$76="Alta",'Mapa final'!$N$76="Mayor"),CONCATENATE("R",'Mapa final'!$A$76),"")</f>
        <v/>
      </c>
      <c r="AG20" s="354"/>
      <c r="AH20" s="364" t="str">
        <f ca="1">IF(AND('Mapa final'!$J$64="Alta",'Mapa final'!$N$64="Catastrófico"),CONCATENATE("R",'Mapa final'!$A$64),"")</f>
        <v/>
      </c>
      <c r="AI20" s="365"/>
      <c r="AJ20" s="365" t="str">
        <f>IF(AND('Mapa final'!$J$70="Alta",'Mapa final'!$N$70="Catastrófico"),CONCATENATE("R",'Mapa final'!$A$70),"")</f>
        <v/>
      </c>
      <c r="AK20" s="365"/>
      <c r="AL20" s="365" t="str">
        <f>IF(AND('Mapa final'!$J$76="Alta",'Mapa final'!$N$76="Catastrófico"),CONCATENATE("R",'Mapa final'!$A$76),"")</f>
        <v/>
      </c>
      <c r="AM20" s="366"/>
      <c r="AN20" s="67"/>
      <c r="AO20" s="320"/>
      <c r="AP20" s="321"/>
      <c r="AQ20" s="321"/>
      <c r="AR20" s="321"/>
      <c r="AS20" s="321"/>
      <c r="AT20" s="322"/>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306"/>
      <c r="C21" s="306"/>
      <c r="D21" s="307"/>
      <c r="E21" s="350"/>
      <c r="F21" s="351"/>
      <c r="G21" s="351"/>
      <c r="H21" s="351"/>
      <c r="I21" s="351"/>
      <c r="J21" s="376"/>
      <c r="K21" s="377"/>
      <c r="L21" s="377"/>
      <c r="M21" s="377"/>
      <c r="N21" s="377"/>
      <c r="O21" s="378"/>
      <c r="P21" s="376"/>
      <c r="Q21" s="377"/>
      <c r="R21" s="377"/>
      <c r="S21" s="377"/>
      <c r="T21" s="377"/>
      <c r="U21" s="378"/>
      <c r="V21" s="361"/>
      <c r="W21" s="362"/>
      <c r="X21" s="362"/>
      <c r="Y21" s="362"/>
      <c r="Z21" s="362"/>
      <c r="AA21" s="363"/>
      <c r="AB21" s="361"/>
      <c r="AC21" s="362"/>
      <c r="AD21" s="362"/>
      <c r="AE21" s="362"/>
      <c r="AF21" s="362"/>
      <c r="AG21" s="363"/>
      <c r="AH21" s="367"/>
      <c r="AI21" s="368"/>
      <c r="AJ21" s="368"/>
      <c r="AK21" s="368"/>
      <c r="AL21" s="368"/>
      <c r="AM21" s="369"/>
      <c r="AN21" s="67"/>
      <c r="AO21" s="323"/>
      <c r="AP21" s="324"/>
      <c r="AQ21" s="324"/>
      <c r="AR21" s="324"/>
      <c r="AS21" s="324"/>
      <c r="AT21" s="325"/>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306"/>
      <c r="C22" s="306"/>
      <c r="D22" s="307"/>
      <c r="E22" s="344" t="s">
        <v>111</v>
      </c>
      <c r="F22" s="345"/>
      <c r="G22" s="345"/>
      <c r="H22" s="345"/>
      <c r="I22" s="346"/>
      <c r="J22" s="379" t="str">
        <f ca="1">IF(AND('Mapa final'!$J$10="Media",'Mapa final'!$N$10="Leve"),CONCATENATE("R",'Mapa final'!$A$10),"")</f>
        <v/>
      </c>
      <c r="K22" s="380"/>
      <c r="L22" s="380" t="str">
        <f>IF(AND('Mapa final'!$J$16="Media",'Mapa final'!$N$16="Leve"),CONCATENATE("R",'Mapa final'!$A$16),"")</f>
        <v/>
      </c>
      <c r="M22" s="380"/>
      <c r="N22" s="380" t="str">
        <f>IF(AND('Mapa final'!$J$22="Media",'Mapa final'!$N$22="Leve"),CONCATENATE("R",'Mapa final'!$A$22),"")</f>
        <v/>
      </c>
      <c r="O22" s="381"/>
      <c r="P22" s="379" t="str">
        <f ca="1">IF(AND('Mapa final'!$J$10="Media",'Mapa final'!$N$10="Menor"),CONCATENATE("R",'Mapa final'!$A$10),"")</f>
        <v/>
      </c>
      <c r="Q22" s="380"/>
      <c r="R22" s="380" t="str">
        <f>IF(AND('Mapa final'!$J$16="Media",'Mapa final'!$N$16="Menor"),CONCATENATE("R",'Mapa final'!$A$16),"")</f>
        <v/>
      </c>
      <c r="S22" s="380"/>
      <c r="T22" s="380" t="str">
        <f>IF(AND('Mapa final'!$J$22="Media",'Mapa final'!$N$22="Menor"),CONCATENATE("R",'Mapa final'!$A$22),"")</f>
        <v/>
      </c>
      <c r="U22" s="381"/>
      <c r="V22" s="379" t="str">
        <f ca="1">IF(AND('Mapa final'!$J$10="Media",'Mapa final'!$N$10="Moderado"),CONCATENATE("R",'Mapa final'!$A$10),"")</f>
        <v/>
      </c>
      <c r="W22" s="380"/>
      <c r="X22" s="380" t="str">
        <f>IF(AND('Mapa final'!$J$16="Media",'Mapa final'!$N$16="Moderado"),CONCATENATE("R",'Mapa final'!$A$16),"")</f>
        <v/>
      </c>
      <c r="Y22" s="380"/>
      <c r="Z22" s="380" t="str">
        <f>IF(AND('Mapa final'!$J$22="Media",'Mapa final'!$N$22="Moderado"),CONCATENATE("R",'Mapa final'!$A$22),"")</f>
        <v/>
      </c>
      <c r="AA22" s="381"/>
      <c r="AB22" s="355" t="str">
        <f ca="1">IF(AND('Mapa final'!$J$10="Media",'Mapa final'!$N$10="Mayor"),CONCATENATE("R",'Mapa final'!$A$10),"")</f>
        <v/>
      </c>
      <c r="AC22" s="356"/>
      <c r="AD22" s="356" t="str">
        <f>IF(AND('Mapa final'!$J$16="Media",'Mapa final'!$N$16="Mayor"),CONCATENATE("R",'Mapa final'!$A$16),"")</f>
        <v/>
      </c>
      <c r="AE22" s="356"/>
      <c r="AF22" s="356" t="str">
        <f>IF(AND('Mapa final'!$J$22="Media",'Mapa final'!$N$22="Mayor"),CONCATENATE("R",'Mapa final'!$A$22),"")</f>
        <v/>
      </c>
      <c r="AG22" s="358"/>
      <c r="AH22" s="370" t="str">
        <f ca="1">IF(AND('Mapa final'!$J$10="Media",'Mapa final'!$N$10="Catastrófico"),CONCATENATE("R",'Mapa final'!$A$10),"")</f>
        <v>R1</v>
      </c>
      <c r="AI22" s="371"/>
      <c r="AJ22" s="371" t="str">
        <f>IF(AND('Mapa final'!$J$16="Media",'Mapa final'!$N$16="Catastrófico"),CONCATENATE("R",'Mapa final'!$A$16),"")</f>
        <v/>
      </c>
      <c r="AK22" s="371"/>
      <c r="AL22" s="371" t="str">
        <f>IF(AND('Mapa final'!$J$22="Media",'Mapa final'!$N$22="Catastrófico"),CONCATENATE("R",'Mapa final'!$A$22),"")</f>
        <v/>
      </c>
      <c r="AM22" s="372"/>
      <c r="AN22" s="67"/>
      <c r="AO22" s="326" t="s">
        <v>79</v>
      </c>
      <c r="AP22" s="327"/>
      <c r="AQ22" s="327"/>
      <c r="AR22" s="327"/>
      <c r="AS22" s="327"/>
      <c r="AT22" s="328"/>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306"/>
      <c r="C23" s="306"/>
      <c r="D23" s="307"/>
      <c r="E23" s="347"/>
      <c r="F23" s="348"/>
      <c r="G23" s="348"/>
      <c r="H23" s="348"/>
      <c r="I23" s="349"/>
      <c r="J23" s="373"/>
      <c r="K23" s="374"/>
      <c r="L23" s="374"/>
      <c r="M23" s="374"/>
      <c r="N23" s="374"/>
      <c r="O23" s="375"/>
      <c r="P23" s="373"/>
      <c r="Q23" s="374"/>
      <c r="R23" s="374"/>
      <c r="S23" s="374"/>
      <c r="T23" s="374"/>
      <c r="U23" s="375"/>
      <c r="V23" s="373"/>
      <c r="W23" s="374"/>
      <c r="X23" s="374"/>
      <c r="Y23" s="374"/>
      <c r="Z23" s="374"/>
      <c r="AA23" s="375"/>
      <c r="AB23" s="357"/>
      <c r="AC23" s="353"/>
      <c r="AD23" s="353"/>
      <c r="AE23" s="353"/>
      <c r="AF23" s="353"/>
      <c r="AG23" s="354"/>
      <c r="AH23" s="364"/>
      <c r="AI23" s="365"/>
      <c r="AJ23" s="365"/>
      <c r="AK23" s="365"/>
      <c r="AL23" s="365"/>
      <c r="AM23" s="366"/>
      <c r="AN23" s="67"/>
      <c r="AO23" s="329"/>
      <c r="AP23" s="330"/>
      <c r="AQ23" s="330"/>
      <c r="AR23" s="330"/>
      <c r="AS23" s="330"/>
      <c r="AT23" s="331"/>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306"/>
      <c r="C24" s="306"/>
      <c r="D24" s="307"/>
      <c r="E24" s="347"/>
      <c r="F24" s="348"/>
      <c r="G24" s="348"/>
      <c r="H24" s="348"/>
      <c r="I24" s="349"/>
      <c r="J24" s="373" t="str">
        <f ca="1">IF(AND('Mapa final'!$J$28="Media",'Mapa final'!$N$28="Leve"),CONCATENATE("R",'Mapa final'!$A$28),"")</f>
        <v/>
      </c>
      <c r="K24" s="374"/>
      <c r="L24" s="374" t="str">
        <f ca="1">IF(AND('Mapa final'!$J$34="Media",'Mapa final'!$N$34="Leve"),CONCATENATE("R",'Mapa final'!$A$34),"")</f>
        <v/>
      </c>
      <c r="M24" s="374"/>
      <c r="N24" s="374" t="str">
        <f ca="1">IF(AND('Mapa final'!$J$40="Media",'Mapa final'!$N$40="Leve"),CONCATENATE("R",'Mapa final'!$A$40),"")</f>
        <v/>
      </c>
      <c r="O24" s="375"/>
      <c r="P24" s="373" t="str">
        <f ca="1">IF(AND('Mapa final'!$J$28="Media",'Mapa final'!$N$28="Menor"),CONCATENATE("R",'Mapa final'!$A$28),"")</f>
        <v/>
      </c>
      <c r="Q24" s="374"/>
      <c r="R24" s="374" t="str">
        <f ca="1">IF(AND('Mapa final'!$J$34="Media",'Mapa final'!$N$34="Menor"),CONCATENATE("R",'Mapa final'!$A$34),"")</f>
        <v/>
      </c>
      <c r="S24" s="374"/>
      <c r="T24" s="374" t="str">
        <f ca="1">IF(AND('Mapa final'!$J$40="Media",'Mapa final'!$N$40="Menor"),CONCATENATE("R",'Mapa final'!$A$40),"")</f>
        <v/>
      </c>
      <c r="U24" s="375"/>
      <c r="V24" s="373" t="str">
        <f ca="1">IF(AND('Mapa final'!$J$28="Media",'Mapa final'!$N$28="Moderado"),CONCATENATE("R",'Mapa final'!$A$28),"")</f>
        <v/>
      </c>
      <c r="W24" s="374"/>
      <c r="X24" s="374" t="str">
        <f ca="1">IF(AND('Mapa final'!$J$34="Media",'Mapa final'!$N$34="Moderado"),CONCATENATE("R",'Mapa final'!$A$34),"")</f>
        <v/>
      </c>
      <c r="Y24" s="374"/>
      <c r="Z24" s="374" t="str">
        <f ca="1">IF(AND('Mapa final'!$J$40="Media",'Mapa final'!$N$40="Moderado"),CONCATENATE("R",'Mapa final'!$A$40),"")</f>
        <v/>
      </c>
      <c r="AA24" s="375"/>
      <c r="AB24" s="357" t="str">
        <f ca="1">IF(AND('Mapa final'!$J$28="Media",'Mapa final'!$N$28="Mayor"),CONCATENATE("R",'Mapa final'!$A$28),"")</f>
        <v/>
      </c>
      <c r="AC24" s="353"/>
      <c r="AD24" s="353" t="str">
        <f ca="1">IF(AND('Mapa final'!$J$34="Media",'Mapa final'!$N$34="Mayor"),CONCATENATE("R",'Mapa final'!$A$34),"")</f>
        <v/>
      </c>
      <c r="AE24" s="353"/>
      <c r="AF24" s="353" t="str">
        <f ca="1">IF(AND('Mapa final'!$J$40="Media",'Mapa final'!$N$40="Mayor"),CONCATENATE("R",'Mapa final'!$A$40),"")</f>
        <v/>
      </c>
      <c r="AG24" s="354"/>
      <c r="AH24" s="364" t="str">
        <f ca="1">IF(AND('Mapa final'!$J$28="Media",'Mapa final'!$N$28="Catastrófico"),CONCATENATE("R",'Mapa final'!$A$28),"")</f>
        <v/>
      </c>
      <c r="AI24" s="365"/>
      <c r="AJ24" s="365" t="str">
        <f ca="1">IF(AND('Mapa final'!$J$34="Media",'Mapa final'!$N$34="Catastrófico"),CONCATENATE("R",'Mapa final'!$A$34),"")</f>
        <v/>
      </c>
      <c r="AK24" s="365"/>
      <c r="AL24" s="365" t="str">
        <f ca="1">IF(AND('Mapa final'!$J$40="Media",'Mapa final'!$N$40="Catastrófico"),CONCATENATE("R",'Mapa final'!$A$40),"")</f>
        <v/>
      </c>
      <c r="AM24" s="366"/>
      <c r="AN24" s="67"/>
      <c r="AO24" s="329"/>
      <c r="AP24" s="330"/>
      <c r="AQ24" s="330"/>
      <c r="AR24" s="330"/>
      <c r="AS24" s="330"/>
      <c r="AT24" s="331"/>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306"/>
      <c r="C25" s="306"/>
      <c r="D25" s="307"/>
      <c r="E25" s="347"/>
      <c r="F25" s="348"/>
      <c r="G25" s="348"/>
      <c r="H25" s="348"/>
      <c r="I25" s="349"/>
      <c r="J25" s="373"/>
      <c r="K25" s="374"/>
      <c r="L25" s="374"/>
      <c r="M25" s="374"/>
      <c r="N25" s="374"/>
      <c r="O25" s="375"/>
      <c r="P25" s="373"/>
      <c r="Q25" s="374"/>
      <c r="R25" s="374"/>
      <c r="S25" s="374"/>
      <c r="T25" s="374"/>
      <c r="U25" s="375"/>
      <c r="V25" s="373"/>
      <c r="W25" s="374"/>
      <c r="X25" s="374"/>
      <c r="Y25" s="374"/>
      <c r="Z25" s="374"/>
      <c r="AA25" s="375"/>
      <c r="AB25" s="357"/>
      <c r="AC25" s="353"/>
      <c r="AD25" s="353"/>
      <c r="AE25" s="353"/>
      <c r="AF25" s="353"/>
      <c r="AG25" s="354"/>
      <c r="AH25" s="364"/>
      <c r="AI25" s="365"/>
      <c r="AJ25" s="365"/>
      <c r="AK25" s="365"/>
      <c r="AL25" s="365"/>
      <c r="AM25" s="366"/>
      <c r="AN25" s="67"/>
      <c r="AO25" s="329"/>
      <c r="AP25" s="330"/>
      <c r="AQ25" s="330"/>
      <c r="AR25" s="330"/>
      <c r="AS25" s="330"/>
      <c r="AT25" s="331"/>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306"/>
      <c r="C26" s="306"/>
      <c r="D26" s="307"/>
      <c r="E26" s="347"/>
      <c r="F26" s="348"/>
      <c r="G26" s="348"/>
      <c r="H26" s="348"/>
      <c r="I26" s="349"/>
      <c r="J26" s="373" t="str">
        <f ca="1">IF(AND('Mapa final'!$J$46="Media",'Mapa final'!$N$46="Leve"),CONCATENATE("R",'Mapa final'!$A$46),"")</f>
        <v/>
      </c>
      <c r="K26" s="374"/>
      <c r="L26" s="374" t="str">
        <f ca="1">IF(AND('Mapa final'!$J$52="Media",'Mapa final'!$N$52="Leve"),CONCATENATE("R",'Mapa final'!$A$52),"")</f>
        <v/>
      </c>
      <c r="M26" s="374"/>
      <c r="N26" s="374" t="str">
        <f ca="1">IF(AND('Mapa final'!$J$58="Media",'Mapa final'!$N$58="Leve"),CONCATENATE("R",'Mapa final'!$A$58),"")</f>
        <v/>
      </c>
      <c r="O26" s="375"/>
      <c r="P26" s="373" t="str">
        <f ca="1">IF(AND('Mapa final'!$J$46="Media",'Mapa final'!$N$46="Menor"),CONCATENATE("R",'Mapa final'!$A$46),"")</f>
        <v/>
      </c>
      <c r="Q26" s="374"/>
      <c r="R26" s="374" t="str">
        <f ca="1">IF(AND('Mapa final'!$J$52="Media",'Mapa final'!$N$52="Menor"),CONCATENATE("R",'Mapa final'!$A$52),"")</f>
        <v/>
      </c>
      <c r="S26" s="374"/>
      <c r="T26" s="374" t="str">
        <f ca="1">IF(AND('Mapa final'!$J$58="Media",'Mapa final'!$N$58="Menor"),CONCATENATE("R",'Mapa final'!$A$58),"")</f>
        <v/>
      </c>
      <c r="U26" s="375"/>
      <c r="V26" s="373" t="str">
        <f ca="1">IF(AND('Mapa final'!$J$46="Media",'Mapa final'!$N$46="Moderado"),CONCATENATE("R",'Mapa final'!$A$46),"")</f>
        <v/>
      </c>
      <c r="W26" s="374"/>
      <c r="X26" s="374" t="str">
        <f ca="1">IF(AND('Mapa final'!$J$52="Media",'Mapa final'!$N$52="Moderado"),CONCATENATE("R",'Mapa final'!$A$52),"")</f>
        <v/>
      </c>
      <c r="Y26" s="374"/>
      <c r="Z26" s="374" t="str">
        <f ca="1">IF(AND('Mapa final'!$J$58="Media",'Mapa final'!$N$58="Moderado"),CONCATENATE("R",'Mapa final'!$A$58),"")</f>
        <v/>
      </c>
      <c r="AA26" s="375"/>
      <c r="AB26" s="357" t="str">
        <f ca="1">IF(AND('Mapa final'!$J$46="Media",'Mapa final'!$N$46="Mayor"),CONCATENATE("R",'Mapa final'!$A$46),"")</f>
        <v/>
      </c>
      <c r="AC26" s="353"/>
      <c r="AD26" s="353" t="str">
        <f ca="1">IF(AND('Mapa final'!$J$52="Media",'Mapa final'!$N$52="Mayor"),CONCATENATE("R",'Mapa final'!$A$52),"")</f>
        <v/>
      </c>
      <c r="AE26" s="353"/>
      <c r="AF26" s="353" t="str">
        <f ca="1">IF(AND('Mapa final'!$J$58="Media",'Mapa final'!$N$58="Mayor"),CONCATENATE("R",'Mapa final'!$A$58),"")</f>
        <v/>
      </c>
      <c r="AG26" s="354"/>
      <c r="AH26" s="364" t="str">
        <f ca="1">IF(AND('Mapa final'!$J$46="Media",'Mapa final'!$N$46="Catastrófico"),CONCATENATE("R",'Mapa final'!$A$46),"")</f>
        <v/>
      </c>
      <c r="AI26" s="365"/>
      <c r="AJ26" s="365" t="str">
        <f ca="1">IF(AND('Mapa final'!$J$52="Media",'Mapa final'!$N$52="Catastrófico"),CONCATENATE("R",'Mapa final'!$A$52),"")</f>
        <v/>
      </c>
      <c r="AK26" s="365"/>
      <c r="AL26" s="365" t="str">
        <f ca="1">IF(AND('Mapa final'!$J$58="Media",'Mapa final'!$N$58="Catastrófico"),CONCATENATE("R",'Mapa final'!$A$58),"")</f>
        <v/>
      </c>
      <c r="AM26" s="366"/>
      <c r="AN26" s="67"/>
      <c r="AO26" s="329"/>
      <c r="AP26" s="330"/>
      <c r="AQ26" s="330"/>
      <c r="AR26" s="330"/>
      <c r="AS26" s="330"/>
      <c r="AT26" s="331"/>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306"/>
      <c r="C27" s="306"/>
      <c r="D27" s="307"/>
      <c r="E27" s="347"/>
      <c r="F27" s="348"/>
      <c r="G27" s="348"/>
      <c r="H27" s="348"/>
      <c r="I27" s="349"/>
      <c r="J27" s="373"/>
      <c r="K27" s="374"/>
      <c r="L27" s="374"/>
      <c r="M27" s="374"/>
      <c r="N27" s="374"/>
      <c r="O27" s="375"/>
      <c r="P27" s="373"/>
      <c r="Q27" s="374"/>
      <c r="R27" s="374"/>
      <c r="S27" s="374"/>
      <c r="T27" s="374"/>
      <c r="U27" s="375"/>
      <c r="V27" s="373"/>
      <c r="W27" s="374"/>
      <c r="X27" s="374"/>
      <c r="Y27" s="374"/>
      <c r="Z27" s="374"/>
      <c r="AA27" s="375"/>
      <c r="AB27" s="357"/>
      <c r="AC27" s="353"/>
      <c r="AD27" s="353"/>
      <c r="AE27" s="353"/>
      <c r="AF27" s="353"/>
      <c r="AG27" s="354"/>
      <c r="AH27" s="364"/>
      <c r="AI27" s="365"/>
      <c r="AJ27" s="365"/>
      <c r="AK27" s="365"/>
      <c r="AL27" s="365"/>
      <c r="AM27" s="366"/>
      <c r="AN27" s="67"/>
      <c r="AO27" s="329"/>
      <c r="AP27" s="330"/>
      <c r="AQ27" s="330"/>
      <c r="AR27" s="330"/>
      <c r="AS27" s="330"/>
      <c r="AT27" s="331"/>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306"/>
      <c r="C28" s="306"/>
      <c r="D28" s="307"/>
      <c r="E28" s="347"/>
      <c r="F28" s="348"/>
      <c r="G28" s="348"/>
      <c r="H28" s="348"/>
      <c r="I28" s="349"/>
      <c r="J28" s="373" t="str">
        <f ca="1">IF(AND('Mapa final'!$J$64="Media",'Mapa final'!$N$64="Leve"),CONCATENATE("R",'Mapa final'!$A$64),"")</f>
        <v/>
      </c>
      <c r="K28" s="374"/>
      <c r="L28" s="374" t="str">
        <f>IF(AND('Mapa final'!$J$70="Media",'Mapa final'!$N$70="Leve"),CONCATENATE("R",'Mapa final'!$A$70),"")</f>
        <v/>
      </c>
      <c r="M28" s="374"/>
      <c r="N28" s="374" t="str">
        <f>IF(AND('Mapa final'!$J$76="Media",'Mapa final'!$N$76="Leve"),CONCATENATE("R",'Mapa final'!$A$76),"")</f>
        <v/>
      </c>
      <c r="O28" s="375"/>
      <c r="P28" s="373" t="str">
        <f ca="1">IF(AND('Mapa final'!$J$64="Media",'Mapa final'!$N$64="Menor"),CONCATENATE("R",'Mapa final'!$A$64),"")</f>
        <v/>
      </c>
      <c r="Q28" s="374"/>
      <c r="R28" s="374" t="str">
        <f>IF(AND('Mapa final'!$J$70="Media",'Mapa final'!$N$70="Menor"),CONCATENATE("R",'Mapa final'!$A$70),"")</f>
        <v/>
      </c>
      <c r="S28" s="374"/>
      <c r="T28" s="374" t="str">
        <f>IF(AND('Mapa final'!$J$76="Media",'Mapa final'!$N$76="Menor"),CONCATENATE("R",'Mapa final'!$A$76),"")</f>
        <v/>
      </c>
      <c r="U28" s="375"/>
      <c r="V28" s="373" t="str">
        <f ca="1">IF(AND('Mapa final'!$J$64="Media",'Mapa final'!$N$64="Moderado"),CONCATENATE("R",'Mapa final'!$A$64),"")</f>
        <v/>
      </c>
      <c r="W28" s="374"/>
      <c r="X28" s="374" t="str">
        <f>IF(AND('Mapa final'!$J$70="Media",'Mapa final'!$N$70="Moderado"),CONCATENATE("R",'Mapa final'!$A$70),"")</f>
        <v/>
      </c>
      <c r="Y28" s="374"/>
      <c r="Z28" s="374" t="str">
        <f>IF(AND('Mapa final'!$J$76="Media",'Mapa final'!$N$76="Moderado"),CONCATENATE("R",'Mapa final'!$A$76),"")</f>
        <v/>
      </c>
      <c r="AA28" s="375"/>
      <c r="AB28" s="357" t="str">
        <f ca="1">IF(AND('Mapa final'!$J$64="Media",'Mapa final'!$N$64="Mayor"),CONCATENATE("R",'Mapa final'!$A$64),"")</f>
        <v/>
      </c>
      <c r="AC28" s="353"/>
      <c r="AD28" s="353" t="str">
        <f>IF(AND('Mapa final'!$J$70="Media",'Mapa final'!$N$70="Mayor"),CONCATENATE("R",'Mapa final'!$A$70),"")</f>
        <v/>
      </c>
      <c r="AE28" s="353"/>
      <c r="AF28" s="353" t="str">
        <f>IF(AND('Mapa final'!$J$76="Media",'Mapa final'!$N$76="Mayor"),CONCATENATE("R",'Mapa final'!$A$76),"")</f>
        <v/>
      </c>
      <c r="AG28" s="354"/>
      <c r="AH28" s="364" t="str">
        <f ca="1">IF(AND('Mapa final'!$J$64="Media",'Mapa final'!$N$64="Catastrófico"),CONCATENATE("R",'Mapa final'!$A$64),"")</f>
        <v/>
      </c>
      <c r="AI28" s="365"/>
      <c r="AJ28" s="365" t="str">
        <f>IF(AND('Mapa final'!$J$70="Media",'Mapa final'!$N$70="Catastrófico"),CONCATENATE("R",'Mapa final'!$A$70),"")</f>
        <v/>
      </c>
      <c r="AK28" s="365"/>
      <c r="AL28" s="365" t="str">
        <f>IF(AND('Mapa final'!$J$76="Media",'Mapa final'!$N$76="Catastrófico"),CONCATENATE("R",'Mapa final'!$A$76),"")</f>
        <v/>
      </c>
      <c r="AM28" s="366"/>
      <c r="AN28" s="67"/>
      <c r="AO28" s="329"/>
      <c r="AP28" s="330"/>
      <c r="AQ28" s="330"/>
      <c r="AR28" s="330"/>
      <c r="AS28" s="330"/>
      <c r="AT28" s="331"/>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306"/>
      <c r="C29" s="306"/>
      <c r="D29" s="307"/>
      <c r="E29" s="350"/>
      <c r="F29" s="351"/>
      <c r="G29" s="351"/>
      <c r="H29" s="351"/>
      <c r="I29" s="352"/>
      <c r="J29" s="373"/>
      <c r="K29" s="374"/>
      <c r="L29" s="374"/>
      <c r="M29" s="374"/>
      <c r="N29" s="374"/>
      <c r="O29" s="375"/>
      <c r="P29" s="376"/>
      <c r="Q29" s="377"/>
      <c r="R29" s="377"/>
      <c r="S29" s="377"/>
      <c r="T29" s="377"/>
      <c r="U29" s="378"/>
      <c r="V29" s="376"/>
      <c r="W29" s="377"/>
      <c r="X29" s="377"/>
      <c r="Y29" s="377"/>
      <c r="Z29" s="377"/>
      <c r="AA29" s="378"/>
      <c r="AB29" s="361"/>
      <c r="AC29" s="362"/>
      <c r="AD29" s="362"/>
      <c r="AE29" s="362"/>
      <c r="AF29" s="362"/>
      <c r="AG29" s="363"/>
      <c r="AH29" s="367"/>
      <c r="AI29" s="368"/>
      <c r="AJ29" s="368"/>
      <c r="AK29" s="368"/>
      <c r="AL29" s="368"/>
      <c r="AM29" s="369"/>
      <c r="AN29" s="67"/>
      <c r="AO29" s="332"/>
      <c r="AP29" s="333"/>
      <c r="AQ29" s="333"/>
      <c r="AR29" s="333"/>
      <c r="AS29" s="333"/>
      <c r="AT29" s="334"/>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306"/>
      <c r="C30" s="306"/>
      <c r="D30" s="307"/>
      <c r="E30" s="344" t="s">
        <v>108</v>
      </c>
      <c r="F30" s="345"/>
      <c r="G30" s="345"/>
      <c r="H30" s="345"/>
      <c r="I30" s="345"/>
      <c r="J30" s="388" t="str">
        <f ca="1">IF(AND('Mapa final'!$J$10="Baja",'Mapa final'!$N$10="Leve"),CONCATENATE("R",'Mapa final'!$A$10),"")</f>
        <v/>
      </c>
      <c r="K30" s="389"/>
      <c r="L30" s="389" t="str">
        <f>IF(AND('Mapa final'!$J$16="Baja",'Mapa final'!$N$16="Leve"),CONCATENATE("R",'Mapa final'!$A$16),"")</f>
        <v/>
      </c>
      <c r="M30" s="389"/>
      <c r="N30" s="389" t="str">
        <f>IF(AND('Mapa final'!$J$22="Baja",'Mapa final'!$N$22="Leve"),CONCATENATE("R",'Mapa final'!$A$22),"")</f>
        <v/>
      </c>
      <c r="O30" s="390"/>
      <c r="P30" s="380" t="str">
        <f ca="1">IF(AND('Mapa final'!$J$10="Baja",'Mapa final'!$N$10="Menor"),CONCATENATE("R",'Mapa final'!$A$10),"")</f>
        <v/>
      </c>
      <c r="Q30" s="380"/>
      <c r="R30" s="380" t="str">
        <f>IF(AND('Mapa final'!$J$16="Baja",'Mapa final'!$N$16="Menor"),CONCATENATE("R",'Mapa final'!$A$16),"")</f>
        <v/>
      </c>
      <c r="S30" s="380"/>
      <c r="T30" s="380" t="str">
        <f>IF(AND('Mapa final'!$J$22="Baja",'Mapa final'!$N$22="Menor"),CONCATENATE("R",'Mapa final'!$A$22),"")</f>
        <v/>
      </c>
      <c r="U30" s="381"/>
      <c r="V30" s="379" t="str">
        <f ca="1">IF(AND('Mapa final'!$J$10="Baja",'Mapa final'!$N$10="Moderado"),CONCATENATE("R",'Mapa final'!$A$10),"")</f>
        <v/>
      </c>
      <c r="W30" s="380"/>
      <c r="X30" s="380" t="str">
        <f>IF(AND('Mapa final'!$J$16="Baja",'Mapa final'!$N$16="Moderado"),CONCATENATE("R",'Mapa final'!$A$16),"")</f>
        <v/>
      </c>
      <c r="Y30" s="380"/>
      <c r="Z30" s="380" t="str">
        <f>IF(AND('Mapa final'!$J$22="Baja",'Mapa final'!$N$22="Moderado"),CONCATENATE("R",'Mapa final'!$A$22),"")</f>
        <v/>
      </c>
      <c r="AA30" s="381"/>
      <c r="AB30" s="355" t="str">
        <f ca="1">IF(AND('Mapa final'!$J$10="Baja",'Mapa final'!$N$10="Mayor"),CONCATENATE("R",'Mapa final'!$A$10),"")</f>
        <v/>
      </c>
      <c r="AC30" s="356"/>
      <c r="AD30" s="356" t="str">
        <f>IF(AND('Mapa final'!$J$16="Baja",'Mapa final'!$N$16="Mayor"),CONCATENATE("R",'Mapa final'!$A$16),"")</f>
        <v/>
      </c>
      <c r="AE30" s="356"/>
      <c r="AF30" s="356" t="str">
        <f>IF(AND('Mapa final'!$J$22="Baja",'Mapa final'!$N$22="Mayor"),CONCATENATE("R",'Mapa final'!$A$22),"")</f>
        <v/>
      </c>
      <c r="AG30" s="358"/>
      <c r="AH30" s="370" t="str">
        <f ca="1">IF(AND('Mapa final'!$J$10="Baja",'Mapa final'!$N$10="Catastrófico"),CONCATENATE("R",'Mapa final'!$A$10),"")</f>
        <v/>
      </c>
      <c r="AI30" s="371"/>
      <c r="AJ30" s="371" t="str">
        <f>IF(AND('Mapa final'!$J$16="Baja",'Mapa final'!$N$16="Catastrófico"),CONCATENATE("R",'Mapa final'!$A$16),"")</f>
        <v/>
      </c>
      <c r="AK30" s="371"/>
      <c r="AL30" s="371" t="str">
        <f>IF(AND('Mapa final'!$J$22="Baja",'Mapa final'!$N$22="Catastrófico"),CONCATENATE("R",'Mapa final'!$A$22),"")</f>
        <v/>
      </c>
      <c r="AM30" s="372"/>
      <c r="AN30" s="67"/>
      <c r="AO30" s="335" t="s">
        <v>80</v>
      </c>
      <c r="AP30" s="336"/>
      <c r="AQ30" s="336"/>
      <c r="AR30" s="336"/>
      <c r="AS30" s="336"/>
      <c r="AT30" s="33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306"/>
      <c r="C31" s="306"/>
      <c r="D31" s="307"/>
      <c r="E31" s="347"/>
      <c r="F31" s="348"/>
      <c r="G31" s="348"/>
      <c r="H31" s="348"/>
      <c r="I31" s="348"/>
      <c r="J31" s="384"/>
      <c r="K31" s="382"/>
      <c r="L31" s="382"/>
      <c r="M31" s="382"/>
      <c r="N31" s="382"/>
      <c r="O31" s="383"/>
      <c r="P31" s="374"/>
      <c r="Q31" s="374"/>
      <c r="R31" s="374"/>
      <c r="S31" s="374"/>
      <c r="T31" s="374"/>
      <c r="U31" s="375"/>
      <c r="V31" s="373"/>
      <c r="W31" s="374"/>
      <c r="X31" s="374"/>
      <c r="Y31" s="374"/>
      <c r="Z31" s="374"/>
      <c r="AA31" s="375"/>
      <c r="AB31" s="357"/>
      <c r="AC31" s="353"/>
      <c r="AD31" s="353"/>
      <c r="AE31" s="353"/>
      <c r="AF31" s="353"/>
      <c r="AG31" s="354"/>
      <c r="AH31" s="364"/>
      <c r="AI31" s="365"/>
      <c r="AJ31" s="365"/>
      <c r="AK31" s="365"/>
      <c r="AL31" s="365"/>
      <c r="AM31" s="366"/>
      <c r="AN31" s="67"/>
      <c r="AO31" s="338"/>
      <c r="AP31" s="339"/>
      <c r="AQ31" s="339"/>
      <c r="AR31" s="339"/>
      <c r="AS31" s="339"/>
      <c r="AT31" s="34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306"/>
      <c r="C32" s="306"/>
      <c r="D32" s="307"/>
      <c r="E32" s="347"/>
      <c r="F32" s="348"/>
      <c r="G32" s="348"/>
      <c r="H32" s="348"/>
      <c r="I32" s="348"/>
      <c r="J32" s="384" t="str">
        <f ca="1">IF(AND('Mapa final'!$J$28="Baja",'Mapa final'!$N$28="Leve"),CONCATENATE("R",'Mapa final'!$A$28),"")</f>
        <v/>
      </c>
      <c r="K32" s="382"/>
      <c r="L32" s="382" t="str">
        <f ca="1">IF(AND('Mapa final'!$J$34="Baja",'Mapa final'!$N$34="Leve"),CONCATENATE("R",'Mapa final'!$A$34),"")</f>
        <v/>
      </c>
      <c r="M32" s="382"/>
      <c r="N32" s="382" t="str">
        <f ca="1">IF(AND('Mapa final'!$J$40="Baja",'Mapa final'!$N$40="Leve"),CONCATENATE("R",'Mapa final'!$A$40),"")</f>
        <v/>
      </c>
      <c r="O32" s="383"/>
      <c r="P32" s="374" t="str">
        <f ca="1">IF(AND('Mapa final'!$J$28="Baja",'Mapa final'!$N$28="Menor"),CONCATENATE("R",'Mapa final'!$A$28),"")</f>
        <v/>
      </c>
      <c r="Q32" s="374"/>
      <c r="R32" s="374" t="str">
        <f ca="1">IF(AND('Mapa final'!$J$34="Baja",'Mapa final'!$N$34="Menor"),CONCATENATE("R",'Mapa final'!$A$34),"")</f>
        <v/>
      </c>
      <c r="S32" s="374"/>
      <c r="T32" s="374" t="str">
        <f ca="1">IF(AND('Mapa final'!$J$40="Baja",'Mapa final'!$N$40="Menor"),CONCATENATE("R",'Mapa final'!$A$40),"")</f>
        <v/>
      </c>
      <c r="U32" s="375"/>
      <c r="V32" s="373" t="str">
        <f ca="1">IF(AND('Mapa final'!$J$28="Baja",'Mapa final'!$N$28="Moderado"),CONCATENATE("R",'Mapa final'!$A$28),"")</f>
        <v/>
      </c>
      <c r="W32" s="374"/>
      <c r="X32" s="374" t="str">
        <f ca="1">IF(AND('Mapa final'!$J$34="Baja",'Mapa final'!$N$34="Moderado"),CONCATENATE("R",'Mapa final'!$A$34),"")</f>
        <v/>
      </c>
      <c r="Y32" s="374"/>
      <c r="Z32" s="374" t="str">
        <f ca="1">IF(AND('Mapa final'!$J$40="Baja",'Mapa final'!$N$40="Moderado"),CONCATENATE("R",'Mapa final'!$A$40),"")</f>
        <v/>
      </c>
      <c r="AA32" s="375"/>
      <c r="AB32" s="357" t="str">
        <f ca="1">IF(AND('Mapa final'!$J$28="Baja",'Mapa final'!$N$28="Mayor"),CONCATENATE("R",'Mapa final'!$A$28),"")</f>
        <v/>
      </c>
      <c r="AC32" s="353"/>
      <c r="AD32" s="353" t="str">
        <f ca="1">IF(AND('Mapa final'!$J$34="Baja",'Mapa final'!$N$34="Mayor"),CONCATENATE("R",'Mapa final'!$A$34),"")</f>
        <v/>
      </c>
      <c r="AE32" s="353"/>
      <c r="AF32" s="353" t="str">
        <f ca="1">IF(AND('Mapa final'!$J$40="Baja",'Mapa final'!$N$40="Mayor"),CONCATENATE("R",'Mapa final'!$A$40),"")</f>
        <v/>
      </c>
      <c r="AG32" s="354"/>
      <c r="AH32" s="364" t="str">
        <f ca="1">IF(AND('Mapa final'!$J$28="Baja",'Mapa final'!$N$28="Catastrófico"),CONCATENATE("R",'Mapa final'!$A$28),"")</f>
        <v/>
      </c>
      <c r="AI32" s="365"/>
      <c r="AJ32" s="365" t="str">
        <f ca="1">IF(AND('Mapa final'!$J$34="Baja",'Mapa final'!$N$34="Catastrófico"),CONCATENATE("R",'Mapa final'!$A$34),"")</f>
        <v/>
      </c>
      <c r="AK32" s="365"/>
      <c r="AL32" s="365" t="str">
        <f ca="1">IF(AND('Mapa final'!$J$40="Baja",'Mapa final'!$N$40="Catastrófico"),CONCATENATE("R",'Mapa final'!$A$40),"")</f>
        <v/>
      </c>
      <c r="AM32" s="366"/>
      <c r="AN32" s="67"/>
      <c r="AO32" s="338"/>
      <c r="AP32" s="339"/>
      <c r="AQ32" s="339"/>
      <c r="AR32" s="339"/>
      <c r="AS32" s="339"/>
      <c r="AT32" s="34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306"/>
      <c r="C33" s="306"/>
      <c r="D33" s="307"/>
      <c r="E33" s="347"/>
      <c r="F33" s="348"/>
      <c r="G33" s="348"/>
      <c r="H33" s="348"/>
      <c r="I33" s="348"/>
      <c r="J33" s="384"/>
      <c r="K33" s="382"/>
      <c r="L33" s="382"/>
      <c r="M33" s="382"/>
      <c r="N33" s="382"/>
      <c r="O33" s="383"/>
      <c r="P33" s="374"/>
      <c r="Q33" s="374"/>
      <c r="R33" s="374"/>
      <c r="S33" s="374"/>
      <c r="T33" s="374"/>
      <c r="U33" s="375"/>
      <c r="V33" s="373"/>
      <c r="W33" s="374"/>
      <c r="X33" s="374"/>
      <c r="Y33" s="374"/>
      <c r="Z33" s="374"/>
      <c r="AA33" s="375"/>
      <c r="AB33" s="357"/>
      <c r="AC33" s="353"/>
      <c r="AD33" s="353"/>
      <c r="AE33" s="353"/>
      <c r="AF33" s="353"/>
      <c r="AG33" s="354"/>
      <c r="AH33" s="364"/>
      <c r="AI33" s="365"/>
      <c r="AJ33" s="365"/>
      <c r="AK33" s="365"/>
      <c r="AL33" s="365"/>
      <c r="AM33" s="366"/>
      <c r="AN33" s="67"/>
      <c r="AO33" s="338"/>
      <c r="AP33" s="339"/>
      <c r="AQ33" s="339"/>
      <c r="AR33" s="339"/>
      <c r="AS33" s="339"/>
      <c r="AT33" s="34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306"/>
      <c r="C34" s="306"/>
      <c r="D34" s="307"/>
      <c r="E34" s="347"/>
      <c r="F34" s="348"/>
      <c r="G34" s="348"/>
      <c r="H34" s="348"/>
      <c r="I34" s="348"/>
      <c r="J34" s="384" t="str">
        <f ca="1">IF(AND('Mapa final'!$J$46="Baja",'Mapa final'!$N$46="Leve"),CONCATENATE("R",'Mapa final'!$A$46),"")</f>
        <v/>
      </c>
      <c r="K34" s="382"/>
      <c r="L34" s="382" t="str">
        <f ca="1">IF(AND('Mapa final'!$J$52="Baja",'Mapa final'!$N$52="Leve"),CONCATENATE("R",'Mapa final'!$A$52),"")</f>
        <v/>
      </c>
      <c r="M34" s="382"/>
      <c r="N34" s="382" t="str">
        <f ca="1">IF(AND('Mapa final'!$J$58="Baja",'Mapa final'!$N$58="Leve"),CONCATENATE("R",'Mapa final'!$A$58),"")</f>
        <v/>
      </c>
      <c r="O34" s="383"/>
      <c r="P34" s="374" t="str">
        <f ca="1">IF(AND('Mapa final'!$J$46="Baja",'Mapa final'!$N$46="Menor"),CONCATENATE("R",'Mapa final'!$A$46),"")</f>
        <v/>
      </c>
      <c r="Q34" s="374"/>
      <c r="R34" s="374" t="str">
        <f ca="1">IF(AND('Mapa final'!$J$52="Baja",'Mapa final'!$N$52="Menor"),CONCATENATE("R",'Mapa final'!$A$52),"")</f>
        <v/>
      </c>
      <c r="S34" s="374"/>
      <c r="T34" s="374" t="str">
        <f ca="1">IF(AND('Mapa final'!$J$58="Baja",'Mapa final'!$N$58="Menor"),CONCATENATE("R",'Mapa final'!$A$58),"")</f>
        <v/>
      </c>
      <c r="U34" s="375"/>
      <c r="V34" s="373" t="str">
        <f ca="1">IF(AND('Mapa final'!$J$46="Baja",'Mapa final'!$N$46="Moderado"),CONCATENATE("R",'Mapa final'!$A$46),"")</f>
        <v/>
      </c>
      <c r="W34" s="374"/>
      <c r="X34" s="374" t="str">
        <f ca="1">IF(AND('Mapa final'!$J$52="Baja",'Mapa final'!$N$52="Moderado"),CONCATENATE("R",'Mapa final'!$A$52),"")</f>
        <v/>
      </c>
      <c r="Y34" s="374"/>
      <c r="Z34" s="374" t="str">
        <f ca="1">IF(AND('Mapa final'!$J$58="Baja",'Mapa final'!$N$58="Moderado"),CONCATENATE("R",'Mapa final'!$A$58),"")</f>
        <v/>
      </c>
      <c r="AA34" s="375"/>
      <c r="AB34" s="357" t="str">
        <f ca="1">IF(AND('Mapa final'!$J$46="Baja",'Mapa final'!$N$46="Mayor"),CONCATENATE("R",'Mapa final'!$A$46),"")</f>
        <v/>
      </c>
      <c r="AC34" s="353"/>
      <c r="AD34" s="353" t="str">
        <f ca="1">IF(AND('Mapa final'!$J$52="Baja",'Mapa final'!$N$52="Mayor"),CONCATENATE("R",'Mapa final'!$A$52),"")</f>
        <v/>
      </c>
      <c r="AE34" s="353"/>
      <c r="AF34" s="353" t="str">
        <f ca="1">IF(AND('Mapa final'!$J$58="Baja",'Mapa final'!$N$58="Mayor"),CONCATENATE("R",'Mapa final'!$A$58),"")</f>
        <v/>
      </c>
      <c r="AG34" s="354"/>
      <c r="AH34" s="364" t="str">
        <f ca="1">IF(AND('Mapa final'!$J$46="Baja",'Mapa final'!$N$46="Catastrófico"),CONCATENATE("R",'Mapa final'!$A$46),"")</f>
        <v/>
      </c>
      <c r="AI34" s="365"/>
      <c r="AJ34" s="365" t="str">
        <f ca="1">IF(AND('Mapa final'!$J$52="Baja",'Mapa final'!$N$52="Catastrófico"),CONCATENATE("R",'Mapa final'!$A$52),"")</f>
        <v/>
      </c>
      <c r="AK34" s="365"/>
      <c r="AL34" s="365" t="str">
        <f ca="1">IF(AND('Mapa final'!$J$58="Baja",'Mapa final'!$N$58="Catastrófico"),CONCATENATE("R",'Mapa final'!$A$58),"")</f>
        <v/>
      </c>
      <c r="AM34" s="366"/>
      <c r="AN34" s="67"/>
      <c r="AO34" s="338"/>
      <c r="AP34" s="339"/>
      <c r="AQ34" s="339"/>
      <c r="AR34" s="339"/>
      <c r="AS34" s="339"/>
      <c r="AT34" s="34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306"/>
      <c r="C35" s="306"/>
      <c r="D35" s="307"/>
      <c r="E35" s="347"/>
      <c r="F35" s="348"/>
      <c r="G35" s="348"/>
      <c r="H35" s="348"/>
      <c r="I35" s="348"/>
      <c r="J35" s="384"/>
      <c r="K35" s="382"/>
      <c r="L35" s="382"/>
      <c r="M35" s="382"/>
      <c r="N35" s="382"/>
      <c r="O35" s="383"/>
      <c r="P35" s="374"/>
      <c r="Q35" s="374"/>
      <c r="R35" s="374"/>
      <c r="S35" s="374"/>
      <c r="T35" s="374"/>
      <c r="U35" s="375"/>
      <c r="V35" s="373"/>
      <c r="W35" s="374"/>
      <c r="X35" s="374"/>
      <c r="Y35" s="374"/>
      <c r="Z35" s="374"/>
      <c r="AA35" s="375"/>
      <c r="AB35" s="357"/>
      <c r="AC35" s="353"/>
      <c r="AD35" s="353"/>
      <c r="AE35" s="353"/>
      <c r="AF35" s="353"/>
      <c r="AG35" s="354"/>
      <c r="AH35" s="364"/>
      <c r="AI35" s="365"/>
      <c r="AJ35" s="365"/>
      <c r="AK35" s="365"/>
      <c r="AL35" s="365"/>
      <c r="AM35" s="366"/>
      <c r="AN35" s="67"/>
      <c r="AO35" s="338"/>
      <c r="AP35" s="339"/>
      <c r="AQ35" s="339"/>
      <c r="AR35" s="339"/>
      <c r="AS35" s="339"/>
      <c r="AT35" s="340"/>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306"/>
      <c r="C36" s="306"/>
      <c r="D36" s="307"/>
      <c r="E36" s="347"/>
      <c r="F36" s="348"/>
      <c r="G36" s="348"/>
      <c r="H36" s="348"/>
      <c r="I36" s="348"/>
      <c r="J36" s="384" t="str">
        <f ca="1">IF(AND('Mapa final'!$J$64="Baja",'Mapa final'!$N$64="Leve"),CONCATENATE("R",'Mapa final'!$A$64),"")</f>
        <v/>
      </c>
      <c r="K36" s="382"/>
      <c r="L36" s="382" t="str">
        <f>IF(AND('Mapa final'!$J$70="Baja",'Mapa final'!$N$70="Leve"),CONCATENATE("R",'Mapa final'!$A$70),"")</f>
        <v/>
      </c>
      <c r="M36" s="382"/>
      <c r="N36" s="382" t="str">
        <f>IF(AND('Mapa final'!$J$76="Baja",'Mapa final'!$N$76="Leve"),CONCATENATE("R",'Mapa final'!$A$76),"")</f>
        <v/>
      </c>
      <c r="O36" s="383"/>
      <c r="P36" s="374" t="str">
        <f ca="1">IF(AND('Mapa final'!$J$64="Baja",'Mapa final'!$N$64="Menor"),CONCATENATE("R",'Mapa final'!$A$64),"")</f>
        <v/>
      </c>
      <c r="Q36" s="374"/>
      <c r="R36" s="374" t="str">
        <f>IF(AND('Mapa final'!$J$70="Baja",'Mapa final'!$N$70="Menor"),CONCATENATE("R",'Mapa final'!$A$70),"")</f>
        <v/>
      </c>
      <c r="S36" s="374"/>
      <c r="T36" s="374" t="str">
        <f>IF(AND('Mapa final'!$J$76="Baja",'Mapa final'!$N$76="Menor"),CONCATENATE("R",'Mapa final'!$A$76),"")</f>
        <v/>
      </c>
      <c r="U36" s="375"/>
      <c r="V36" s="373" t="str">
        <f ca="1">IF(AND('Mapa final'!$J$64="Baja",'Mapa final'!$N$64="Moderado"),CONCATENATE("R",'Mapa final'!$A$64),"")</f>
        <v/>
      </c>
      <c r="W36" s="374"/>
      <c r="X36" s="374" t="str">
        <f>IF(AND('Mapa final'!$J$70="Baja",'Mapa final'!$N$70="Moderado"),CONCATENATE("R",'Mapa final'!$A$70),"")</f>
        <v/>
      </c>
      <c r="Y36" s="374"/>
      <c r="Z36" s="374" t="str">
        <f>IF(AND('Mapa final'!$J$76="Baja",'Mapa final'!$N$76="Moderado"),CONCATENATE("R",'Mapa final'!$A$76),"")</f>
        <v/>
      </c>
      <c r="AA36" s="375"/>
      <c r="AB36" s="357" t="str">
        <f ca="1">IF(AND('Mapa final'!$J$64="Baja",'Mapa final'!$N$64="Mayor"),CONCATENATE("R",'Mapa final'!$A$64),"")</f>
        <v/>
      </c>
      <c r="AC36" s="353"/>
      <c r="AD36" s="353" t="str">
        <f>IF(AND('Mapa final'!$J$70="Baja",'Mapa final'!$N$70="Mayor"),CONCATENATE("R",'Mapa final'!$A$70),"")</f>
        <v/>
      </c>
      <c r="AE36" s="353"/>
      <c r="AF36" s="353" t="str">
        <f>IF(AND('Mapa final'!$J$76="Baja",'Mapa final'!$N$76="Mayor"),CONCATENATE("R",'Mapa final'!$A$76),"")</f>
        <v/>
      </c>
      <c r="AG36" s="354"/>
      <c r="AH36" s="364" t="str">
        <f ca="1">IF(AND('Mapa final'!$J$64="Baja",'Mapa final'!$N$64="Catastrófico"),CONCATENATE("R",'Mapa final'!$A$64),"")</f>
        <v/>
      </c>
      <c r="AI36" s="365"/>
      <c r="AJ36" s="365" t="str">
        <f>IF(AND('Mapa final'!$J$70="Baja",'Mapa final'!$N$70="Catastrófico"),CONCATENATE("R",'Mapa final'!$A$70),"")</f>
        <v/>
      </c>
      <c r="AK36" s="365"/>
      <c r="AL36" s="365" t="str">
        <f>IF(AND('Mapa final'!$J$76="Baja",'Mapa final'!$N$76="Catastrófico"),CONCATENATE("R",'Mapa final'!$A$76),"")</f>
        <v/>
      </c>
      <c r="AM36" s="366"/>
      <c r="AN36" s="67"/>
      <c r="AO36" s="338"/>
      <c r="AP36" s="339"/>
      <c r="AQ36" s="339"/>
      <c r="AR36" s="339"/>
      <c r="AS36" s="339"/>
      <c r="AT36" s="340"/>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306"/>
      <c r="C37" s="306"/>
      <c r="D37" s="307"/>
      <c r="E37" s="350"/>
      <c r="F37" s="351"/>
      <c r="G37" s="351"/>
      <c r="H37" s="351"/>
      <c r="I37" s="351"/>
      <c r="J37" s="385"/>
      <c r="K37" s="386"/>
      <c r="L37" s="386"/>
      <c r="M37" s="386"/>
      <c r="N37" s="386"/>
      <c r="O37" s="387"/>
      <c r="P37" s="377"/>
      <c r="Q37" s="377"/>
      <c r="R37" s="377"/>
      <c r="S37" s="377"/>
      <c r="T37" s="377"/>
      <c r="U37" s="378"/>
      <c r="V37" s="376"/>
      <c r="W37" s="377"/>
      <c r="X37" s="377"/>
      <c r="Y37" s="377"/>
      <c r="Z37" s="377"/>
      <c r="AA37" s="378"/>
      <c r="AB37" s="361"/>
      <c r="AC37" s="362"/>
      <c r="AD37" s="362"/>
      <c r="AE37" s="362"/>
      <c r="AF37" s="362"/>
      <c r="AG37" s="363"/>
      <c r="AH37" s="367"/>
      <c r="AI37" s="368"/>
      <c r="AJ37" s="368"/>
      <c r="AK37" s="368"/>
      <c r="AL37" s="368"/>
      <c r="AM37" s="369"/>
      <c r="AN37" s="67"/>
      <c r="AO37" s="341"/>
      <c r="AP37" s="342"/>
      <c r="AQ37" s="342"/>
      <c r="AR37" s="342"/>
      <c r="AS37" s="342"/>
      <c r="AT37" s="343"/>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306"/>
      <c r="C38" s="306"/>
      <c r="D38" s="307"/>
      <c r="E38" s="344" t="s">
        <v>107</v>
      </c>
      <c r="F38" s="345"/>
      <c r="G38" s="345"/>
      <c r="H38" s="345"/>
      <c r="I38" s="346"/>
      <c r="J38" s="388" t="str">
        <f ca="1">IF(AND('Mapa final'!$J$10="Muy Baja",'Mapa final'!$N$10="Leve"),CONCATENATE("R",'Mapa final'!$A$10),"")</f>
        <v/>
      </c>
      <c r="K38" s="389"/>
      <c r="L38" s="389" t="str">
        <f>IF(AND('Mapa final'!$J$16="Muy Baja",'Mapa final'!$N$16="Leve"),CONCATENATE("R",'Mapa final'!$A$16),"")</f>
        <v/>
      </c>
      <c r="M38" s="389"/>
      <c r="N38" s="389" t="str">
        <f>IF(AND('Mapa final'!$J$22="Muy Baja",'Mapa final'!$N$22="Leve"),CONCATENATE("R",'Mapa final'!$A$22),"")</f>
        <v/>
      </c>
      <c r="O38" s="390"/>
      <c r="P38" s="388" t="str">
        <f ca="1">IF(AND('Mapa final'!$J$10="Muy Baja",'Mapa final'!$N$10="Menor"),CONCATENATE("R",'Mapa final'!$A$10),"")</f>
        <v/>
      </c>
      <c r="Q38" s="389"/>
      <c r="R38" s="389" t="str">
        <f>IF(AND('Mapa final'!$J$16="Muy Baja",'Mapa final'!$N$16="Menor"),CONCATENATE("R",'Mapa final'!$A$16),"")</f>
        <v/>
      </c>
      <c r="S38" s="389"/>
      <c r="T38" s="389" t="str">
        <f>IF(AND('Mapa final'!$J$22="Muy Baja",'Mapa final'!$N$22="Menor"),CONCATENATE("R",'Mapa final'!$A$22),"")</f>
        <v/>
      </c>
      <c r="U38" s="390"/>
      <c r="V38" s="379" t="str">
        <f ca="1">IF(AND('Mapa final'!$J$10="Muy Baja",'Mapa final'!$N$10="Moderado"),CONCATENATE("R",'Mapa final'!$A$10),"")</f>
        <v/>
      </c>
      <c r="W38" s="380"/>
      <c r="X38" s="380" t="str">
        <f>IF(AND('Mapa final'!$J$16="Muy Baja",'Mapa final'!$N$16="Moderado"),CONCATENATE("R",'Mapa final'!$A$16),"")</f>
        <v/>
      </c>
      <c r="Y38" s="380"/>
      <c r="Z38" s="380" t="str">
        <f>IF(AND('Mapa final'!$J$22="Muy Baja",'Mapa final'!$N$22="Moderado"),CONCATENATE("R",'Mapa final'!$A$22),"")</f>
        <v/>
      </c>
      <c r="AA38" s="381"/>
      <c r="AB38" s="355" t="str">
        <f ca="1">IF(AND('Mapa final'!$J$10="Muy Baja",'Mapa final'!$N$10="Mayor"),CONCATENATE("R",'Mapa final'!$A$10),"")</f>
        <v/>
      </c>
      <c r="AC38" s="356"/>
      <c r="AD38" s="356" t="str">
        <f>IF(AND('Mapa final'!$J$16="Muy Baja",'Mapa final'!$N$16="Mayor"),CONCATENATE("R",'Mapa final'!$A$16),"")</f>
        <v/>
      </c>
      <c r="AE38" s="356"/>
      <c r="AF38" s="356" t="str">
        <f>IF(AND('Mapa final'!$J$22="Muy Baja",'Mapa final'!$N$22="Mayor"),CONCATENATE("R",'Mapa final'!$A$22),"")</f>
        <v/>
      </c>
      <c r="AG38" s="358"/>
      <c r="AH38" s="370" t="str">
        <f ca="1">IF(AND('Mapa final'!$J$10="Muy Baja",'Mapa final'!$N$10="Catastrófico"),CONCATENATE("R",'Mapa final'!$A$10),"")</f>
        <v/>
      </c>
      <c r="AI38" s="371"/>
      <c r="AJ38" s="371" t="str">
        <f>IF(AND('Mapa final'!$J$16="Muy Baja",'Mapa final'!$N$16="Catastrófico"),CONCATENATE("R",'Mapa final'!$A$16),"")</f>
        <v/>
      </c>
      <c r="AK38" s="371"/>
      <c r="AL38" s="371" t="str">
        <f>IF(AND('Mapa final'!$J$22="Muy Baja",'Mapa final'!$N$22="Catastrófico"),CONCATENATE("R",'Mapa final'!$A$22),"")</f>
        <v/>
      </c>
      <c r="AM38" s="372"/>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306"/>
      <c r="C39" s="306"/>
      <c r="D39" s="307"/>
      <c r="E39" s="347"/>
      <c r="F39" s="348"/>
      <c r="G39" s="348"/>
      <c r="H39" s="348"/>
      <c r="I39" s="349"/>
      <c r="J39" s="384"/>
      <c r="K39" s="382"/>
      <c r="L39" s="382"/>
      <c r="M39" s="382"/>
      <c r="N39" s="382"/>
      <c r="O39" s="383"/>
      <c r="P39" s="384"/>
      <c r="Q39" s="382"/>
      <c r="R39" s="382"/>
      <c r="S39" s="382"/>
      <c r="T39" s="382"/>
      <c r="U39" s="383"/>
      <c r="V39" s="373"/>
      <c r="W39" s="374"/>
      <c r="X39" s="374"/>
      <c r="Y39" s="374"/>
      <c r="Z39" s="374"/>
      <c r="AA39" s="375"/>
      <c r="AB39" s="357"/>
      <c r="AC39" s="353"/>
      <c r="AD39" s="353"/>
      <c r="AE39" s="353"/>
      <c r="AF39" s="353"/>
      <c r="AG39" s="354"/>
      <c r="AH39" s="364"/>
      <c r="AI39" s="365"/>
      <c r="AJ39" s="365"/>
      <c r="AK39" s="365"/>
      <c r="AL39" s="365"/>
      <c r="AM39" s="366"/>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306"/>
      <c r="C40" s="306"/>
      <c r="D40" s="307"/>
      <c r="E40" s="347"/>
      <c r="F40" s="348"/>
      <c r="G40" s="348"/>
      <c r="H40" s="348"/>
      <c r="I40" s="349"/>
      <c r="J40" s="384" t="str">
        <f ca="1">IF(AND('Mapa final'!$J$28="Muy Baja",'Mapa final'!$N$28="Leve"),CONCATENATE("R",'Mapa final'!$A$28),"")</f>
        <v/>
      </c>
      <c r="K40" s="382"/>
      <c r="L40" s="382" t="str">
        <f ca="1">IF(AND('Mapa final'!$J$34="Muy Baja",'Mapa final'!$N$34="Leve"),CONCATENATE("R",'Mapa final'!$A$34),"")</f>
        <v/>
      </c>
      <c r="M40" s="382"/>
      <c r="N40" s="382" t="str">
        <f ca="1">IF(AND('Mapa final'!$J$40="Muy Baja",'Mapa final'!$N$40="Leve"),CONCATENATE("R",'Mapa final'!$A$40),"")</f>
        <v/>
      </c>
      <c r="O40" s="383"/>
      <c r="P40" s="384" t="str">
        <f ca="1">IF(AND('Mapa final'!$J$28="Muy Baja",'Mapa final'!$N$28="Menor"),CONCATENATE("R",'Mapa final'!$A$28),"")</f>
        <v/>
      </c>
      <c r="Q40" s="382"/>
      <c r="R40" s="382" t="str">
        <f ca="1">IF(AND('Mapa final'!$J$34="Muy Baja",'Mapa final'!$N$34="Menor"),CONCATENATE("R",'Mapa final'!$A$34),"")</f>
        <v/>
      </c>
      <c r="S40" s="382"/>
      <c r="T40" s="382" t="str">
        <f ca="1">IF(AND('Mapa final'!$J$40="Muy Baja",'Mapa final'!$N$40="Menor"),CONCATENATE("R",'Mapa final'!$A$40),"")</f>
        <v/>
      </c>
      <c r="U40" s="383"/>
      <c r="V40" s="373" t="str">
        <f ca="1">IF(AND('Mapa final'!$J$28="Muy Baja",'Mapa final'!$N$28="Moderado"),CONCATENATE("R",'Mapa final'!$A$28),"")</f>
        <v/>
      </c>
      <c r="W40" s="374"/>
      <c r="X40" s="374" t="str">
        <f ca="1">IF(AND('Mapa final'!$J$34="Muy Baja",'Mapa final'!$N$34="Moderado"),CONCATENATE("R",'Mapa final'!$A$34),"")</f>
        <v/>
      </c>
      <c r="Y40" s="374"/>
      <c r="Z40" s="374" t="str">
        <f ca="1">IF(AND('Mapa final'!$J$40="Muy Baja",'Mapa final'!$N$40="Moderado"),CONCATENATE("R",'Mapa final'!$A$40),"")</f>
        <v/>
      </c>
      <c r="AA40" s="375"/>
      <c r="AB40" s="357" t="str">
        <f ca="1">IF(AND('Mapa final'!$J$28="Muy Baja",'Mapa final'!$N$28="Mayor"),CONCATENATE("R",'Mapa final'!$A$28),"")</f>
        <v/>
      </c>
      <c r="AC40" s="353"/>
      <c r="AD40" s="353" t="str">
        <f ca="1">IF(AND('Mapa final'!$J$34="Muy Baja",'Mapa final'!$N$34="Mayor"),CONCATENATE("R",'Mapa final'!$A$34),"")</f>
        <v/>
      </c>
      <c r="AE40" s="353"/>
      <c r="AF40" s="353" t="str">
        <f ca="1">IF(AND('Mapa final'!$J$40="Muy Baja",'Mapa final'!$N$40="Mayor"),CONCATENATE("R",'Mapa final'!$A$40),"")</f>
        <v/>
      </c>
      <c r="AG40" s="354"/>
      <c r="AH40" s="364" t="str">
        <f ca="1">IF(AND('Mapa final'!$J$28="Muy Baja",'Mapa final'!$N$28="Catastrófico"),CONCATENATE("R",'Mapa final'!$A$28),"")</f>
        <v/>
      </c>
      <c r="AI40" s="365"/>
      <c r="AJ40" s="365" t="str">
        <f ca="1">IF(AND('Mapa final'!$J$34="Muy Baja",'Mapa final'!$N$34="Catastrófico"),CONCATENATE("R",'Mapa final'!$A$34),"")</f>
        <v/>
      </c>
      <c r="AK40" s="365"/>
      <c r="AL40" s="365" t="str">
        <f ca="1">IF(AND('Mapa final'!$J$40="Muy Baja",'Mapa final'!$N$40="Catastrófico"),CONCATENATE("R",'Mapa final'!$A$40),"")</f>
        <v/>
      </c>
      <c r="AM40" s="366"/>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306"/>
      <c r="C41" s="306"/>
      <c r="D41" s="307"/>
      <c r="E41" s="347"/>
      <c r="F41" s="348"/>
      <c r="G41" s="348"/>
      <c r="H41" s="348"/>
      <c r="I41" s="349"/>
      <c r="J41" s="384"/>
      <c r="K41" s="382"/>
      <c r="L41" s="382"/>
      <c r="M41" s="382"/>
      <c r="N41" s="382"/>
      <c r="O41" s="383"/>
      <c r="P41" s="384"/>
      <c r="Q41" s="382"/>
      <c r="R41" s="382"/>
      <c r="S41" s="382"/>
      <c r="T41" s="382"/>
      <c r="U41" s="383"/>
      <c r="V41" s="373"/>
      <c r="W41" s="374"/>
      <c r="X41" s="374"/>
      <c r="Y41" s="374"/>
      <c r="Z41" s="374"/>
      <c r="AA41" s="375"/>
      <c r="AB41" s="357"/>
      <c r="AC41" s="353"/>
      <c r="AD41" s="353"/>
      <c r="AE41" s="353"/>
      <c r="AF41" s="353"/>
      <c r="AG41" s="354"/>
      <c r="AH41" s="364"/>
      <c r="AI41" s="365"/>
      <c r="AJ41" s="365"/>
      <c r="AK41" s="365"/>
      <c r="AL41" s="365"/>
      <c r="AM41" s="366"/>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306"/>
      <c r="C42" s="306"/>
      <c r="D42" s="307"/>
      <c r="E42" s="347"/>
      <c r="F42" s="348"/>
      <c r="G42" s="348"/>
      <c r="H42" s="348"/>
      <c r="I42" s="349"/>
      <c r="J42" s="384" t="str">
        <f ca="1">IF(AND('Mapa final'!$J$46="Muy Baja",'Mapa final'!$N$46="Leve"),CONCATENATE("R",'Mapa final'!$A$46),"")</f>
        <v/>
      </c>
      <c r="K42" s="382"/>
      <c r="L42" s="382" t="str">
        <f ca="1">IF(AND('Mapa final'!$J$52="Muy Baja",'Mapa final'!$N$52="Leve"),CONCATENATE("R",'Mapa final'!$A$52),"")</f>
        <v/>
      </c>
      <c r="M42" s="382"/>
      <c r="N42" s="382" t="str">
        <f ca="1">IF(AND('Mapa final'!$J$58="Muy Baja",'Mapa final'!$N$58="Leve"),CONCATENATE("R",'Mapa final'!$A$58),"")</f>
        <v/>
      </c>
      <c r="O42" s="383"/>
      <c r="P42" s="384" t="str">
        <f ca="1">IF(AND('Mapa final'!$J$46="Muy Baja",'Mapa final'!$N$46="Menor"),CONCATENATE("R",'Mapa final'!$A$46),"")</f>
        <v/>
      </c>
      <c r="Q42" s="382"/>
      <c r="R42" s="382" t="str">
        <f ca="1">IF(AND('Mapa final'!$J$52="Muy Baja",'Mapa final'!$N$52="Menor"),CONCATENATE("R",'Mapa final'!$A$52),"")</f>
        <v/>
      </c>
      <c r="S42" s="382"/>
      <c r="T42" s="382" t="str">
        <f ca="1">IF(AND('Mapa final'!$J$58="Muy Baja",'Mapa final'!$N$58="Menor"),CONCATENATE("R",'Mapa final'!$A$58),"")</f>
        <v/>
      </c>
      <c r="U42" s="383"/>
      <c r="V42" s="373" t="str">
        <f ca="1">IF(AND('Mapa final'!$J$46="Muy Baja",'Mapa final'!$N$46="Moderado"),CONCATENATE("R",'Mapa final'!$A$46),"")</f>
        <v/>
      </c>
      <c r="W42" s="374"/>
      <c r="X42" s="374" t="str">
        <f ca="1">IF(AND('Mapa final'!$J$52="Muy Baja",'Mapa final'!$N$52="Moderado"),CONCATENATE("R",'Mapa final'!$A$52),"")</f>
        <v/>
      </c>
      <c r="Y42" s="374"/>
      <c r="Z42" s="374" t="str">
        <f ca="1">IF(AND('Mapa final'!$J$58="Muy Baja",'Mapa final'!$N$58="Moderado"),CONCATENATE("R",'Mapa final'!$A$58),"")</f>
        <v/>
      </c>
      <c r="AA42" s="375"/>
      <c r="AB42" s="357" t="str">
        <f ca="1">IF(AND('Mapa final'!$J$46="Muy Baja",'Mapa final'!$N$46="Mayor"),CONCATENATE("R",'Mapa final'!$A$46),"")</f>
        <v/>
      </c>
      <c r="AC42" s="353"/>
      <c r="AD42" s="353" t="str">
        <f ca="1">IF(AND('Mapa final'!$J$52="Muy Baja",'Mapa final'!$N$52="Mayor"),CONCATENATE("R",'Mapa final'!$A$52),"")</f>
        <v/>
      </c>
      <c r="AE42" s="353"/>
      <c r="AF42" s="353" t="str">
        <f ca="1">IF(AND('Mapa final'!$J$58="Muy Baja",'Mapa final'!$N$58="Mayor"),CONCATENATE("R",'Mapa final'!$A$58),"")</f>
        <v/>
      </c>
      <c r="AG42" s="354"/>
      <c r="AH42" s="364" t="str">
        <f ca="1">IF(AND('Mapa final'!$J$46="Muy Baja",'Mapa final'!$N$46="Catastrófico"),CONCATENATE("R",'Mapa final'!$A$46),"")</f>
        <v/>
      </c>
      <c r="AI42" s="365"/>
      <c r="AJ42" s="365" t="str">
        <f ca="1">IF(AND('Mapa final'!$J$52="Muy Baja",'Mapa final'!$N$52="Catastrófico"),CONCATENATE("R",'Mapa final'!$A$52),"")</f>
        <v/>
      </c>
      <c r="AK42" s="365"/>
      <c r="AL42" s="365" t="str">
        <f ca="1">IF(AND('Mapa final'!$J$58="Muy Baja",'Mapa final'!$N$58="Catastrófico"),CONCATENATE("R",'Mapa final'!$A$58),"")</f>
        <v/>
      </c>
      <c r="AM42" s="366"/>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306"/>
      <c r="C43" s="306"/>
      <c r="D43" s="307"/>
      <c r="E43" s="347"/>
      <c r="F43" s="348"/>
      <c r="G43" s="348"/>
      <c r="H43" s="348"/>
      <c r="I43" s="349"/>
      <c r="J43" s="384"/>
      <c r="K43" s="382"/>
      <c r="L43" s="382"/>
      <c r="M43" s="382"/>
      <c r="N43" s="382"/>
      <c r="O43" s="383"/>
      <c r="P43" s="384"/>
      <c r="Q43" s="382"/>
      <c r="R43" s="382"/>
      <c r="S43" s="382"/>
      <c r="T43" s="382"/>
      <c r="U43" s="383"/>
      <c r="V43" s="373"/>
      <c r="W43" s="374"/>
      <c r="X43" s="374"/>
      <c r="Y43" s="374"/>
      <c r="Z43" s="374"/>
      <c r="AA43" s="375"/>
      <c r="AB43" s="357"/>
      <c r="AC43" s="353"/>
      <c r="AD43" s="353"/>
      <c r="AE43" s="353"/>
      <c r="AF43" s="353"/>
      <c r="AG43" s="354"/>
      <c r="AH43" s="364"/>
      <c r="AI43" s="365"/>
      <c r="AJ43" s="365"/>
      <c r="AK43" s="365"/>
      <c r="AL43" s="365"/>
      <c r="AM43" s="366"/>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306"/>
      <c r="C44" s="306"/>
      <c r="D44" s="307"/>
      <c r="E44" s="347"/>
      <c r="F44" s="348"/>
      <c r="G44" s="348"/>
      <c r="H44" s="348"/>
      <c r="I44" s="349"/>
      <c r="J44" s="384" t="str">
        <f ca="1">IF(AND('Mapa final'!$J$64="Muy Baja",'Mapa final'!$N$64="Leve"),CONCATENATE("R",'Mapa final'!$A$64),"")</f>
        <v/>
      </c>
      <c r="K44" s="382"/>
      <c r="L44" s="382" t="str">
        <f>IF(AND('Mapa final'!$J$70="Muy Baja",'Mapa final'!$N$70="Leve"),CONCATENATE("R",'Mapa final'!$A$70),"")</f>
        <v/>
      </c>
      <c r="M44" s="382"/>
      <c r="N44" s="382" t="str">
        <f>IF(AND('Mapa final'!$J$76="Muy Baja",'Mapa final'!$N$76="Leve"),CONCATENATE("R",'Mapa final'!$A$76),"")</f>
        <v/>
      </c>
      <c r="O44" s="383"/>
      <c r="P44" s="384" t="str">
        <f ca="1">IF(AND('Mapa final'!$J$64="Muy Baja",'Mapa final'!$N$64="Menor"),CONCATENATE("R",'Mapa final'!$A$64),"")</f>
        <v/>
      </c>
      <c r="Q44" s="382"/>
      <c r="R44" s="382" t="str">
        <f>IF(AND('Mapa final'!$J$70="Muy Baja",'Mapa final'!$N$70="Menor"),CONCATENATE("R",'Mapa final'!$A$70),"")</f>
        <v/>
      </c>
      <c r="S44" s="382"/>
      <c r="T44" s="382" t="str">
        <f>IF(AND('Mapa final'!$J$76="Muy Baja",'Mapa final'!$N$76="Menor"),CONCATENATE("R",'Mapa final'!$A$76),"")</f>
        <v/>
      </c>
      <c r="U44" s="383"/>
      <c r="V44" s="373" t="str">
        <f ca="1">IF(AND('Mapa final'!$J$64="Muy Baja",'Mapa final'!$N$64="Moderado"),CONCATENATE("R",'Mapa final'!$A$64),"")</f>
        <v/>
      </c>
      <c r="W44" s="374"/>
      <c r="X44" s="374" t="str">
        <f>IF(AND('Mapa final'!$J$70="Muy Baja",'Mapa final'!$N$70="Moderado"),CONCATENATE("R",'Mapa final'!$A$70),"")</f>
        <v/>
      </c>
      <c r="Y44" s="374"/>
      <c r="Z44" s="374" t="str">
        <f>IF(AND('Mapa final'!$J$76="Muy Baja",'Mapa final'!$N$76="Moderado"),CONCATENATE("R",'Mapa final'!$A$76),"")</f>
        <v/>
      </c>
      <c r="AA44" s="375"/>
      <c r="AB44" s="357" t="str">
        <f ca="1">IF(AND('Mapa final'!$J$64="Muy Baja",'Mapa final'!$N$64="Mayor"),CONCATENATE("R",'Mapa final'!$A$64),"")</f>
        <v/>
      </c>
      <c r="AC44" s="353"/>
      <c r="AD44" s="353" t="str">
        <f>IF(AND('Mapa final'!$J$70="Muy Baja",'Mapa final'!$N$70="Mayor"),CONCATENATE("R",'Mapa final'!$A$70),"")</f>
        <v/>
      </c>
      <c r="AE44" s="353"/>
      <c r="AF44" s="353" t="str">
        <f>IF(AND('Mapa final'!$J$76="Muy Baja",'Mapa final'!$N$76="Mayor"),CONCATENATE("R",'Mapa final'!$A$76),"")</f>
        <v/>
      </c>
      <c r="AG44" s="354"/>
      <c r="AH44" s="364" t="str">
        <f ca="1">IF(AND('Mapa final'!$J$64="Muy Baja",'Mapa final'!$N$64="Catastrófico"),CONCATENATE("R",'Mapa final'!$A$64),"")</f>
        <v/>
      </c>
      <c r="AI44" s="365"/>
      <c r="AJ44" s="365" t="str">
        <f>IF(AND('Mapa final'!$J$70="Muy Baja",'Mapa final'!$N$70="Catastrófico"),CONCATENATE("R",'Mapa final'!$A$70),"")</f>
        <v/>
      </c>
      <c r="AK44" s="365"/>
      <c r="AL44" s="365" t="str">
        <f>IF(AND('Mapa final'!$J$76="Muy Baja",'Mapa final'!$N$76="Catastrófico"),CONCATENATE("R",'Mapa final'!$A$76),"")</f>
        <v/>
      </c>
      <c r="AM44" s="366"/>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306"/>
      <c r="C45" s="306"/>
      <c r="D45" s="307"/>
      <c r="E45" s="350"/>
      <c r="F45" s="351"/>
      <c r="G45" s="351"/>
      <c r="H45" s="351"/>
      <c r="I45" s="352"/>
      <c r="J45" s="385"/>
      <c r="K45" s="386"/>
      <c r="L45" s="386"/>
      <c r="M45" s="386"/>
      <c r="N45" s="386"/>
      <c r="O45" s="387"/>
      <c r="P45" s="385"/>
      <c r="Q45" s="386"/>
      <c r="R45" s="386"/>
      <c r="S45" s="386"/>
      <c r="T45" s="386"/>
      <c r="U45" s="387"/>
      <c r="V45" s="376"/>
      <c r="W45" s="377"/>
      <c r="X45" s="377"/>
      <c r="Y45" s="377"/>
      <c r="Z45" s="377"/>
      <c r="AA45" s="378"/>
      <c r="AB45" s="361"/>
      <c r="AC45" s="362"/>
      <c r="AD45" s="362"/>
      <c r="AE45" s="362"/>
      <c r="AF45" s="362"/>
      <c r="AG45" s="363"/>
      <c r="AH45" s="367"/>
      <c r="AI45" s="368"/>
      <c r="AJ45" s="368"/>
      <c r="AK45" s="368"/>
      <c r="AL45" s="368"/>
      <c r="AM45" s="369"/>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344" t="s">
        <v>106</v>
      </c>
      <c r="K46" s="345"/>
      <c r="L46" s="345"/>
      <c r="M46" s="345"/>
      <c r="N46" s="345"/>
      <c r="O46" s="346"/>
      <c r="P46" s="344" t="s">
        <v>105</v>
      </c>
      <c r="Q46" s="345"/>
      <c r="R46" s="345"/>
      <c r="S46" s="345"/>
      <c r="T46" s="345"/>
      <c r="U46" s="346"/>
      <c r="V46" s="344" t="s">
        <v>104</v>
      </c>
      <c r="W46" s="345"/>
      <c r="X46" s="345"/>
      <c r="Y46" s="345"/>
      <c r="Z46" s="345"/>
      <c r="AA46" s="346"/>
      <c r="AB46" s="344" t="s">
        <v>103</v>
      </c>
      <c r="AC46" s="360"/>
      <c r="AD46" s="345"/>
      <c r="AE46" s="345"/>
      <c r="AF46" s="345"/>
      <c r="AG46" s="346"/>
      <c r="AH46" s="344" t="s">
        <v>102</v>
      </c>
      <c r="AI46" s="345"/>
      <c r="AJ46" s="345"/>
      <c r="AK46" s="345"/>
      <c r="AL46" s="345"/>
      <c r="AM46" s="346"/>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347"/>
      <c r="K47" s="348"/>
      <c r="L47" s="348"/>
      <c r="M47" s="348"/>
      <c r="N47" s="348"/>
      <c r="O47" s="349"/>
      <c r="P47" s="347"/>
      <c r="Q47" s="348"/>
      <c r="R47" s="348"/>
      <c r="S47" s="348"/>
      <c r="T47" s="348"/>
      <c r="U47" s="349"/>
      <c r="V47" s="347"/>
      <c r="W47" s="348"/>
      <c r="X47" s="348"/>
      <c r="Y47" s="348"/>
      <c r="Z47" s="348"/>
      <c r="AA47" s="349"/>
      <c r="AB47" s="347"/>
      <c r="AC47" s="348"/>
      <c r="AD47" s="348"/>
      <c r="AE47" s="348"/>
      <c r="AF47" s="348"/>
      <c r="AG47" s="349"/>
      <c r="AH47" s="347"/>
      <c r="AI47" s="348"/>
      <c r="AJ47" s="348"/>
      <c r="AK47" s="348"/>
      <c r="AL47" s="348"/>
      <c r="AM47" s="349"/>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347"/>
      <c r="K48" s="348"/>
      <c r="L48" s="348"/>
      <c r="M48" s="348"/>
      <c r="N48" s="348"/>
      <c r="O48" s="349"/>
      <c r="P48" s="347"/>
      <c r="Q48" s="348"/>
      <c r="R48" s="348"/>
      <c r="S48" s="348"/>
      <c r="T48" s="348"/>
      <c r="U48" s="349"/>
      <c r="V48" s="347"/>
      <c r="W48" s="348"/>
      <c r="X48" s="348"/>
      <c r="Y48" s="348"/>
      <c r="Z48" s="348"/>
      <c r="AA48" s="349"/>
      <c r="AB48" s="347"/>
      <c r="AC48" s="348"/>
      <c r="AD48" s="348"/>
      <c r="AE48" s="348"/>
      <c r="AF48" s="348"/>
      <c r="AG48" s="349"/>
      <c r="AH48" s="347"/>
      <c r="AI48" s="348"/>
      <c r="AJ48" s="348"/>
      <c r="AK48" s="348"/>
      <c r="AL48" s="348"/>
      <c r="AM48" s="349"/>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347"/>
      <c r="K49" s="348"/>
      <c r="L49" s="348"/>
      <c r="M49" s="348"/>
      <c r="N49" s="348"/>
      <c r="O49" s="349"/>
      <c r="P49" s="347"/>
      <c r="Q49" s="348"/>
      <c r="R49" s="348"/>
      <c r="S49" s="348"/>
      <c r="T49" s="348"/>
      <c r="U49" s="349"/>
      <c r="V49" s="347"/>
      <c r="W49" s="348"/>
      <c r="X49" s="348"/>
      <c r="Y49" s="348"/>
      <c r="Z49" s="348"/>
      <c r="AA49" s="349"/>
      <c r="AB49" s="347"/>
      <c r="AC49" s="348"/>
      <c r="AD49" s="348"/>
      <c r="AE49" s="348"/>
      <c r="AF49" s="348"/>
      <c r="AG49" s="349"/>
      <c r="AH49" s="347"/>
      <c r="AI49" s="348"/>
      <c r="AJ49" s="348"/>
      <c r="AK49" s="348"/>
      <c r="AL49" s="348"/>
      <c r="AM49" s="349"/>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347"/>
      <c r="K50" s="348"/>
      <c r="L50" s="348"/>
      <c r="M50" s="348"/>
      <c r="N50" s="348"/>
      <c r="O50" s="349"/>
      <c r="P50" s="347"/>
      <c r="Q50" s="348"/>
      <c r="R50" s="348"/>
      <c r="S50" s="348"/>
      <c r="T50" s="348"/>
      <c r="U50" s="349"/>
      <c r="V50" s="347"/>
      <c r="W50" s="348"/>
      <c r="X50" s="348"/>
      <c r="Y50" s="348"/>
      <c r="Z50" s="348"/>
      <c r="AA50" s="349"/>
      <c r="AB50" s="347"/>
      <c r="AC50" s="348"/>
      <c r="AD50" s="348"/>
      <c r="AE50" s="348"/>
      <c r="AF50" s="348"/>
      <c r="AG50" s="349"/>
      <c r="AH50" s="347"/>
      <c r="AI50" s="348"/>
      <c r="AJ50" s="348"/>
      <c r="AK50" s="348"/>
      <c r="AL50" s="348"/>
      <c r="AM50" s="349"/>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350"/>
      <c r="K51" s="351"/>
      <c r="L51" s="351"/>
      <c r="M51" s="351"/>
      <c r="N51" s="351"/>
      <c r="O51" s="352"/>
      <c r="P51" s="350"/>
      <c r="Q51" s="351"/>
      <c r="R51" s="351"/>
      <c r="S51" s="351"/>
      <c r="T51" s="351"/>
      <c r="U51" s="352"/>
      <c r="V51" s="350"/>
      <c r="W51" s="351"/>
      <c r="X51" s="351"/>
      <c r="Y51" s="351"/>
      <c r="Z51" s="351"/>
      <c r="AA51" s="352"/>
      <c r="AB51" s="350"/>
      <c r="AC51" s="351"/>
      <c r="AD51" s="351"/>
      <c r="AE51" s="351"/>
      <c r="AF51" s="351"/>
      <c r="AG51" s="352"/>
      <c r="AH51" s="350"/>
      <c r="AI51" s="351"/>
      <c r="AJ51" s="351"/>
      <c r="AK51" s="351"/>
      <c r="AL51" s="351"/>
      <c r="AM51" s="352"/>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Z25" zoomScale="112" zoomScaleNormal="112" workbookViewId="0">
      <selection activeCell="AH36" sqref="AH3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417" t="s">
        <v>148</v>
      </c>
      <c r="C2" s="418"/>
      <c r="D2" s="418"/>
      <c r="E2" s="418"/>
      <c r="F2" s="418"/>
      <c r="G2" s="418"/>
      <c r="H2" s="418"/>
      <c r="I2" s="418"/>
      <c r="J2" s="359" t="s">
        <v>2</v>
      </c>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418"/>
      <c r="C3" s="418"/>
      <c r="D3" s="418"/>
      <c r="E3" s="418"/>
      <c r="F3" s="418"/>
      <c r="G3" s="418"/>
      <c r="H3" s="418"/>
      <c r="I3" s="418"/>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418"/>
      <c r="C4" s="418"/>
      <c r="D4" s="418"/>
      <c r="E4" s="418"/>
      <c r="F4" s="418"/>
      <c r="G4" s="418"/>
      <c r="H4" s="418"/>
      <c r="I4" s="418"/>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306" t="s">
        <v>4</v>
      </c>
      <c r="C6" s="306"/>
      <c r="D6" s="307"/>
      <c r="E6" s="401" t="s">
        <v>110</v>
      </c>
      <c r="F6" s="402"/>
      <c r="G6" s="402"/>
      <c r="H6" s="402"/>
      <c r="I6" s="419"/>
      <c r="J6" s="30" t="str">
        <f ca="1">IF(AND('Mapa final'!$AA$10="Muy Alta",'Mapa final'!$AC$10="Leve"),CONCATENATE("R1C",'Mapa final'!$Q$10),"")</f>
        <v/>
      </c>
      <c r="K6" s="31" t="str">
        <f ca="1">IF(AND('Mapa final'!$AA$11="Muy Alta",'Mapa final'!$AC$11="Leve"),CONCATENATE("R1C",'Mapa final'!$Q$11),"")</f>
        <v/>
      </c>
      <c r="L6" s="31" t="str">
        <f ca="1">IF(AND('Mapa final'!$AA$12="Muy Alta",'Mapa final'!$AC$12="Leve"),CONCATENATE("R1C",'Mapa final'!$Q$12),"")</f>
        <v/>
      </c>
      <c r="M6" s="31" t="str">
        <f ca="1">IF(AND('Mapa final'!$AA$13="Muy Alta",'Mapa final'!$AC$13="Leve"),CONCATENATE("R1C",'Mapa final'!$Q$13),"")</f>
        <v/>
      </c>
      <c r="N6" s="31" t="str">
        <f ca="1">IF(AND('Mapa final'!$AA$14="Muy Alta",'Mapa final'!$AC$14="Leve"),CONCATENATE("R1C",'Mapa final'!$Q$14),"")</f>
        <v/>
      </c>
      <c r="O6" s="32" t="str">
        <f>IF(AND('Mapa final'!$AA$15="Muy Alta",'Mapa final'!$AC$15="Leve"),CONCATENATE("R1C",'Mapa final'!$Q$15),"")</f>
        <v/>
      </c>
      <c r="P6" s="30" t="str">
        <f ca="1">IF(AND('Mapa final'!$AA$10="Muy Alta",'Mapa final'!$AC$10="Menor"),CONCATENATE("R1C",'Mapa final'!$Q$10),"")</f>
        <v/>
      </c>
      <c r="Q6" s="31" t="str">
        <f ca="1">IF(AND('Mapa final'!$AA$11="Muy Alta",'Mapa final'!$AC$11="Menor"),CONCATENATE("R1C",'Mapa final'!$Q$11),"")</f>
        <v/>
      </c>
      <c r="R6" s="31" t="str">
        <f ca="1">IF(AND('Mapa final'!$AA$12="Muy Alta",'Mapa final'!$AC$12="Menor"),CONCATENATE("R1C",'Mapa final'!$Q$12),"")</f>
        <v/>
      </c>
      <c r="S6" s="31" t="str">
        <f ca="1">IF(AND('Mapa final'!$AA$13="Muy Alta",'Mapa final'!$AC$13="Menor"),CONCATENATE("R1C",'Mapa final'!$Q$13),"")</f>
        <v/>
      </c>
      <c r="T6" s="31" t="str">
        <f ca="1">IF(AND('Mapa final'!$AA$14="Muy Alta",'Mapa final'!$AC$14="Menor"),CONCATENATE("R1C",'Mapa final'!$Q$14),"")</f>
        <v/>
      </c>
      <c r="U6" s="32" t="str">
        <f>IF(AND('Mapa final'!$AA$15="Muy Alta",'Mapa final'!$AC$15="Menor"),CONCATENATE("R1C",'Mapa final'!$Q$15),"")</f>
        <v/>
      </c>
      <c r="V6" s="30" t="str">
        <f ca="1">IF(AND('Mapa final'!$AA$10="Muy Alta",'Mapa final'!$AC$10="Moderado"),CONCATENATE("R1C",'Mapa final'!$Q$10),"")</f>
        <v/>
      </c>
      <c r="W6" s="31" t="str">
        <f ca="1">IF(AND('Mapa final'!$AA$11="Muy Alta",'Mapa final'!$AC$11="Moderado"),CONCATENATE("R1C",'Mapa final'!$Q$11),"")</f>
        <v/>
      </c>
      <c r="X6" s="31" t="str">
        <f ca="1">IF(AND('Mapa final'!$AA$12="Muy Alta",'Mapa final'!$AC$12="Moderado"),CONCATENATE("R1C",'Mapa final'!$Q$12),"")</f>
        <v/>
      </c>
      <c r="Y6" s="31" t="str">
        <f ca="1">IF(AND('Mapa final'!$AA$13="Muy Alta",'Mapa final'!$AC$13="Moderado"),CONCATENATE("R1C",'Mapa final'!$Q$13),"")</f>
        <v/>
      </c>
      <c r="Z6" s="31" t="str">
        <f ca="1">IF(AND('Mapa final'!$AA$14="Muy Alta",'Mapa final'!$AC$14="Moderado"),CONCATENATE("R1C",'Mapa final'!$Q$14),"")</f>
        <v/>
      </c>
      <c r="AA6" s="32" t="str">
        <f>IF(AND('Mapa final'!$AA$15="Muy Alta",'Mapa final'!$AC$15="Moderado"),CONCATENATE("R1C",'Mapa final'!$Q$15),"")</f>
        <v/>
      </c>
      <c r="AB6" s="30" t="str">
        <f ca="1">IF(AND('Mapa final'!$AA$10="Muy Alta",'Mapa final'!$AC$10="Mayor"),CONCATENATE("R1C",'Mapa final'!$Q$10),"")</f>
        <v/>
      </c>
      <c r="AC6" s="31" t="str">
        <f ca="1">IF(AND('Mapa final'!$AA$11="Muy Alta",'Mapa final'!$AC$11="Mayor"),CONCATENATE("R1C",'Mapa final'!$Q$11),"")</f>
        <v/>
      </c>
      <c r="AD6" s="31" t="str">
        <f ca="1">IF(AND('Mapa final'!$AA$12="Muy Alta",'Mapa final'!$AC$12="Mayor"),CONCATENATE("R1C",'Mapa final'!$Q$12),"")</f>
        <v/>
      </c>
      <c r="AE6" s="31" t="str">
        <f ca="1">IF(AND('Mapa final'!$AA$13="Muy Alta",'Mapa final'!$AC$13="Mayor"),CONCATENATE("R1C",'Mapa final'!$Q$13),"")</f>
        <v/>
      </c>
      <c r="AF6" s="31" t="str">
        <f ca="1">IF(AND('Mapa final'!$AA$14="Muy Alta",'Mapa final'!$AC$14="Mayor"),CONCATENATE("R1C",'Mapa final'!$Q$14),"")</f>
        <v/>
      </c>
      <c r="AG6" s="32" t="str">
        <f>IF(AND('Mapa final'!$AA$15="Muy Alta",'Mapa final'!$AC$15="Mayor"),CONCATENATE("R1C",'Mapa final'!$Q$15),"")</f>
        <v/>
      </c>
      <c r="AH6" s="33" t="str">
        <f ca="1">IF(AND('Mapa final'!$AA$10="Muy Alta",'Mapa final'!$AC$10="Catastrófico"),CONCATENATE("R1C",'Mapa final'!$Q$10),"")</f>
        <v/>
      </c>
      <c r="AI6" s="34" t="str">
        <f ca="1">IF(AND('Mapa final'!$AA$11="Muy Alta",'Mapa final'!$AC$11="Catastrófico"),CONCATENATE("R1C",'Mapa final'!$Q$11),"")</f>
        <v/>
      </c>
      <c r="AJ6" s="34" t="str">
        <f ca="1">IF(AND('Mapa final'!$AA$12="Muy Alta",'Mapa final'!$AC$12="Catastrófico"),CONCATENATE("R1C",'Mapa final'!$Q$12),"")</f>
        <v/>
      </c>
      <c r="AK6" s="34" t="str">
        <f ca="1">IF(AND('Mapa final'!$AA$13="Muy Alta",'Mapa final'!$AC$13="Catastrófico"),CONCATENATE("R1C",'Mapa final'!$Q$13),"")</f>
        <v/>
      </c>
      <c r="AL6" s="34" t="str">
        <f ca="1">IF(AND('Mapa final'!$AA$14="Muy Alta",'Mapa final'!$AC$14="Catastrófico"),CONCATENATE("R1C",'Mapa final'!$Q$14),"")</f>
        <v/>
      </c>
      <c r="AM6" s="35" t="str">
        <f>IF(AND('Mapa final'!$AA$15="Muy Alta",'Mapa final'!$AC$15="Catastrófico"),CONCATENATE("R1C",'Mapa final'!$Q$15),"")</f>
        <v/>
      </c>
      <c r="AN6" s="67"/>
      <c r="AO6" s="408" t="s">
        <v>77</v>
      </c>
      <c r="AP6" s="409"/>
      <c r="AQ6" s="409"/>
      <c r="AR6" s="409"/>
      <c r="AS6" s="409"/>
      <c r="AT6" s="410"/>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306"/>
      <c r="C7" s="306"/>
      <c r="D7" s="307"/>
      <c r="E7" s="405"/>
      <c r="F7" s="404"/>
      <c r="G7" s="404"/>
      <c r="H7" s="404"/>
      <c r="I7" s="420"/>
      <c r="J7" s="36" t="str">
        <f>IF(AND('Mapa final'!$AA$16="Muy Alta",'Mapa final'!$AC$16="Leve"),CONCATENATE("R2C",'Mapa final'!$Q$16),"")</f>
        <v/>
      </c>
      <c r="K7" s="37" t="str">
        <f>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IF(AND('Mapa final'!$AA$16="Muy Alta",'Mapa final'!$AC$16="Menor"),CONCATENATE("R2C",'Mapa final'!$Q$16),"")</f>
        <v/>
      </c>
      <c r="Q7" s="37" t="str">
        <f>IF(AND('Mapa final'!$AA$17="Muy Alta",'Mapa final'!$AC$17="Menor"),CONCATENATE("R2C",'Mapa final'!$Q$17),"")</f>
        <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IF(AND('Mapa final'!$AA$16="Muy Alta",'Mapa final'!$AC$16="Moderado"),CONCATENATE("R2C",'Mapa final'!$Q$16),"")</f>
        <v/>
      </c>
      <c r="W7" s="37" t="str">
        <f>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IF(AND('Mapa final'!$AA$16="Muy Alta",'Mapa final'!$AC$16="Mayor"),CONCATENATE("R2C",'Mapa final'!$Q$16),"")</f>
        <v/>
      </c>
      <c r="AC7" s="37" t="str">
        <f>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IF(AND('Mapa final'!$AA$16="Muy Alta",'Mapa final'!$AC$16="Catastrófico"),CONCATENATE("R2C",'Mapa final'!$Q$16),"")</f>
        <v/>
      </c>
      <c r="AI7" s="40" t="str">
        <f>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7"/>
      <c r="AO7" s="411"/>
      <c r="AP7" s="412"/>
      <c r="AQ7" s="412"/>
      <c r="AR7" s="412"/>
      <c r="AS7" s="412"/>
      <c r="AT7" s="413"/>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306"/>
      <c r="C8" s="306"/>
      <c r="D8" s="307"/>
      <c r="E8" s="405"/>
      <c r="F8" s="404"/>
      <c r="G8" s="404"/>
      <c r="H8" s="404"/>
      <c r="I8" s="420"/>
      <c r="J8" s="36" t="str">
        <f>IF(AND('Mapa final'!$AA$22="Muy Alta",'Mapa final'!$AC$22="Leve"),CONCATENATE("R3C",'Mapa final'!$Q$22),"")</f>
        <v/>
      </c>
      <c r="K8" s="37" t="str">
        <f>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IF(AND('Mapa final'!$AA$22="Muy Alta",'Mapa final'!$AC$22="Menor"),CONCATENATE("R3C",'Mapa final'!$Q$22),"")</f>
        <v/>
      </c>
      <c r="Q8" s="37" t="str">
        <f>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IF(AND('Mapa final'!$AA$22="Muy Alta",'Mapa final'!$AC$22="Moderado"),CONCATENATE("R3C",'Mapa final'!$Q$22),"")</f>
        <v/>
      </c>
      <c r="W8" s="37" t="str">
        <f>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IF(AND('Mapa final'!$AA$22="Muy Alta",'Mapa final'!$AC$22="Mayor"),CONCATENATE("R3C",'Mapa final'!$Q$22),"")</f>
        <v/>
      </c>
      <c r="AC8" s="37" t="str">
        <f>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IF(AND('Mapa final'!$AA$22="Muy Alta",'Mapa final'!$AC$22="Catastrófico"),CONCATENATE("R3C",'Mapa final'!$Q$22),"")</f>
        <v/>
      </c>
      <c r="AI8" s="40" t="str">
        <f>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7"/>
      <c r="AO8" s="411"/>
      <c r="AP8" s="412"/>
      <c r="AQ8" s="412"/>
      <c r="AR8" s="412"/>
      <c r="AS8" s="412"/>
      <c r="AT8" s="413"/>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306"/>
      <c r="C9" s="306"/>
      <c r="D9" s="307"/>
      <c r="E9" s="405"/>
      <c r="F9" s="404"/>
      <c r="G9" s="404"/>
      <c r="H9" s="404"/>
      <c r="I9" s="420"/>
      <c r="J9" s="36" t="str">
        <f>IF(AND('Mapa final'!$AA$28="Muy Alta",'Mapa final'!$AC$28="Leve"),CONCATENATE("R4C",'Mapa final'!$Q$28),"")</f>
        <v/>
      </c>
      <c r="K9" s="37" t="str">
        <f>IF(AND('Mapa final'!$AA$29="Muy Alta",'Mapa final'!$AC$29="Leve"),CONCATENATE("R4C",'Mapa final'!$Q$29),"")</f>
        <v/>
      </c>
      <c r="L9" s="37" t="str">
        <f>IF(AND('Mapa final'!$AA$30="Muy Alta",'Mapa final'!$AC$30="Leve"),CONCATENATE("R4C",'Mapa final'!$Q$30),"")</f>
        <v/>
      </c>
      <c r="M9" s="37" t="str">
        <f>IF(AND('Mapa final'!$AA$31="Muy Alta",'Mapa final'!$AC$31="Leve"),CONCATENATE("R4C",'Mapa final'!$Q$31),"")</f>
        <v/>
      </c>
      <c r="N9" s="37"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37" t="str">
        <f>IF(AND('Mapa final'!$AA$30="Muy Alta",'Mapa final'!$AC$30="Menor"),CONCATENATE("R4C",'Mapa final'!$Q$30),"")</f>
        <v/>
      </c>
      <c r="S9" s="37" t="str">
        <f>IF(AND('Mapa final'!$AA$31="Muy Alta",'Mapa final'!$AC$31="Menor"),CONCATENATE("R4C",'Mapa final'!$Q$31),"")</f>
        <v/>
      </c>
      <c r="T9" s="37"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37" t="str">
        <f>IF(AND('Mapa final'!$AA$30="Muy Alta",'Mapa final'!$AC$30="Moderado"),CONCATENATE("R4C",'Mapa final'!$Q$30),"")</f>
        <v/>
      </c>
      <c r="Y9" s="37" t="str">
        <f>IF(AND('Mapa final'!$AA$31="Muy Alta",'Mapa final'!$AC$31="Moderado"),CONCATENATE("R4C",'Mapa final'!$Q$31),"")</f>
        <v/>
      </c>
      <c r="Z9" s="37"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37" t="str">
        <f>IF(AND('Mapa final'!$AA$30="Muy Alta",'Mapa final'!$AC$30="Mayor"),CONCATENATE("R4C",'Mapa final'!$Q$30),"")</f>
        <v/>
      </c>
      <c r="AE9" s="37" t="str">
        <f>IF(AND('Mapa final'!$AA$31="Muy Alta",'Mapa final'!$AC$31="Mayor"),CONCATENATE("R4C",'Mapa final'!$Q$31),"")</f>
        <v/>
      </c>
      <c r="AF9" s="37"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7"/>
      <c r="AO9" s="411"/>
      <c r="AP9" s="412"/>
      <c r="AQ9" s="412"/>
      <c r="AR9" s="412"/>
      <c r="AS9" s="412"/>
      <c r="AT9" s="413"/>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306"/>
      <c r="C10" s="306"/>
      <c r="D10" s="307"/>
      <c r="E10" s="405"/>
      <c r="F10" s="404"/>
      <c r="G10" s="404"/>
      <c r="H10" s="404"/>
      <c r="I10" s="420"/>
      <c r="J10" s="36" t="str">
        <f>IF(AND('Mapa final'!$AA$34="Muy Alta",'Mapa final'!$AC$34="Leve"),CONCATENATE("R5C",'Mapa final'!$Q$34),"")</f>
        <v/>
      </c>
      <c r="K10" s="37" t="str">
        <f>IF(AND('Mapa final'!$AA$35="Muy Alta",'Mapa final'!$AC$35="Leve"),CONCATENATE("R5C",'Mapa final'!$Q$35),"")</f>
        <v/>
      </c>
      <c r="L10" s="37" t="str">
        <f>IF(AND('Mapa final'!$AA$36="Muy Alta",'Mapa final'!$AC$36="Leve"),CONCATENATE("R5C",'Mapa final'!$Q$36),"")</f>
        <v/>
      </c>
      <c r="M10" s="37" t="str">
        <f>IF(AND('Mapa final'!$AA$37="Muy Alta",'Mapa final'!$AC$37="Leve"),CONCATENATE("R5C",'Mapa final'!$Q$37),"")</f>
        <v/>
      </c>
      <c r="N10" s="37"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37" t="str">
        <f>IF(AND('Mapa final'!$AA$36="Muy Alta",'Mapa final'!$AC$36="Menor"),CONCATENATE("R5C",'Mapa final'!$Q$36),"")</f>
        <v/>
      </c>
      <c r="S10" s="37" t="str">
        <f>IF(AND('Mapa final'!$AA$37="Muy Alta",'Mapa final'!$AC$37="Menor"),CONCATENATE("R5C",'Mapa final'!$Q$37),"")</f>
        <v/>
      </c>
      <c r="T10" s="37"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37" t="str">
        <f>IF(AND('Mapa final'!$AA$36="Muy Alta",'Mapa final'!$AC$36="Moderado"),CONCATENATE("R5C",'Mapa final'!$Q$36),"")</f>
        <v/>
      </c>
      <c r="Y10" s="37" t="str">
        <f>IF(AND('Mapa final'!$AA$37="Muy Alta",'Mapa final'!$AC$37="Moderado"),CONCATENATE("R5C",'Mapa final'!$Q$37),"")</f>
        <v/>
      </c>
      <c r="Z10" s="37"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37" t="str">
        <f>IF(AND('Mapa final'!$AA$36="Muy Alta",'Mapa final'!$AC$36="Mayor"),CONCATENATE("R5C",'Mapa final'!$Q$36),"")</f>
        <v/>
      </c>
      <c r="AE10" s="37" t="str">
        <f>IF(AND('Mapa final'!$AA$37="Muy Alta",'Mapa final'!$AC$37="Mayor"),CONCATENATE("R5C",'Mapa final'!$Q$37),"")</f>
        <v/>
      </c>
      <c r="AF10" s="37"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7"/>
      <c r="AO10" s="411"/>
      <c r="AP10" s="412"/>
      <c r="AQ10" s="412"/>
      <c r="AR10" s="412"/>
      <c r="AS10" s="412"/>
      <c r="AT10" s="413"/>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306"/>
      <c r="C11" s="306"/>
      <c r="D11" s="307"/>
      <c r="E11" s="405"/>
      <c r="F11" s="404"/>
      <c r="G11" s="404"/>
      <c r="H11" s="404"/>
      <c r="I11" s="420"/>
      <c r="J11" s="36" t="str">
        <f>IF(AND('Mapa final'!$AA$40="Muy Alta",'Mapa final'!$AC$40="Leve"),CONCATENATE("R6C",'Mapa final'!$Q$40),"")</f>
        <v/>
      </c>
      <c r="K11" s="37" t="str">
        <f>IF(AND('Mapa final'!$AA$41="Muy Alta",'Mapa final'!$AC$41="Leve"),CONCATENATE("R6C",'Mapa final'!$Q$41),"")</f>
        <v/>
      </c>
      <c r="L11" s="37" t="str">
        <f>IF(AND('Mapa final'!$AA$42="Muy Alta",'Mapa final'!$AC$42="Leve"),CONCATENATE("R6C",'Mapa final'!$Q$42),"")</f>
        <v/>
      </c>
      <c r="M11" s="37" t="str">
        <f>IF(AND('Mapa final'!$AA$43="Muy Alta",'Mapa final'!$AC$43="Leve"),CONCATENATE("R6C",'Mapa final'!$Q$43),"")</f>
        <v/>
      </c>
      <c r="N11" s="37"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37" t="str">
        <f>IF(AND('Mapa final'!$AA$42="Muy Alta",'Mapa final'!$AC$42="Menor"),CONCATENATE("R6C",'Mapa final'!$Q$42),"")</f>
        <v/>
      </c>
      <c r="S11" s="37" t="str">
        <f>IF(AND('Mapa final'!$AA$43="Muy Alta",'Mapa final'!$AC$43="Menor"),CONCATENATE("R6C",'Mapa final'!$Q$43),"")</f>
        <v/>
      </c>
      <c r="T11" s="37"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37" t="str">
        <f>IF(AND('Mapa final'!$AA$42="Muy Alta",'Mapa final'!$AC$42="Moderado"),CONCATENATE("R6C",'Mapa final'!$Q$42),"")</f>
        <v/>
      </c>
      <c r="Y11" s="37" t="str">
        <f>IF(AND('Mapa final'!$AA$43="Muy Alta",'Mapa final'!$AC$43="Moderado"),CONCATENATE("R6C",'Mapa final'!$Q$43),"")</f>
        <v/>
      </c>
      <c r="Z11" s="37"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37" t="str">
        <f>IF(AND('Mapa final'!$AA$42="Muy Alta",'Mapa final'!$AC$42="Mayor"),CONCATENATE("R6C",'Mapa final'!$Q$42),"")</f>
        <v/>
      </c>
      <c r="AE11" s="37" t="str">
        <f>IF(AND('Mapa final'!$AA$43="Muy Alta",'Mapa final'!$AC$43="Mayor"),CONCATENATE("R6C",'Mapa final'!$Q$43),"")</f>
        <v/>
      </c>
      <c r="AF11" s="37"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7"/>
      <c r="AO11" s="411"/>
      <c r="AP11" s="412"/>
      <c r="AQ11" s="412"/>
      <c r="AR11" s="412"/>
      <c r="AS11" s="412"/>
      <c r="AT11" s="413"/>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306"/>
      <c r="C12" s="306"/>
      <c r="D12" s="307"/>
      <c r="E12" s="405"/>
      <c r="F12" s="404"/>
      <c r="G12" s="404"/>
      <c r="H12" s="404"/>
      <c r="I12" s="420"/>
      <c r="J12" s="36" t="str">
        <f>IF(AND('Mapa final'!$AA$46="Muy Alta",'Mapa final'!$AC$46="Leve"),CONCATENATE("R7C",'Mapa final'!$Q$46),"")</f>
        <v/>
      </c>
      <c r="K12" s="37" t="str">
        <f>IF(AND('Mapa final'!$AA$47="Muy Alta",'Mapa final'!$AC$47="Leve"),CONCATENATE("R7C",'Mapa final'!$Q$47),"")</f>
        <v/>
      </c>
      <c r="L12" s="37" t="str">
        <f>IF(AND('Mapa final'!$AA$48="Muy Alta",'Mapa final'!$AC$48="Leve"),CONCATENATE("R7C",'Mapa final'!$Q$48),"")</f>
        <v/>
      </c>
      <c r="M12" s="37" t="str">
        <f>IF(AND('Mapa final'!$AA$49="Muy Alta",'Mapa final'!$AC$49="Leve"),CONCATENATE("R7C",'Mapa final'!$Q$49),"")</f>
        <v/>
      </c>
      <c r="N12" s="37"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37" t="str">
        <f>IF(AND('Mapa final'!$AA$48="Muy Alta",'Mapa final'!$AC$48="Menor"),CONCATENATE("R7C",'Mapa final'!$Q$48),"")</f>
        <v/>
      </c>
      <c r="S12" s="37" t="str">
        <f>IF(AND('Mapa final'!$AA$49="Muy Alta",'Mapa final'!$AC$49="Menor"),CONCATENATE("R7C",'Mapa final'!$Q$49),"")</f>
        <v/>
      </c>
      <c r="T12" s="37"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37" t="str">
        <f>IF(AND('Mapa final'!$AA$48="Muy Alta",'Mapa final'!$AC$48="Moderado"),CONCATENATE("R7C",'Mapa final'!$Q$48),"")</f>
        <v/>
      </c>
      <c r="Y12" s="37" t="str">
        <f>IF(AND('Mapa final'!$AA$49="Muy Alta",'Mapa final'!$AC$49="Moderado"),CONCATENATE("R7C",'Mapa final'!$Q$49),"")</f>
        <v/>
      </c>
      <c r="Z12" s="37"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37" t="str">
        <f>IF(AND('Mapa final'!$AA$48="Muy Alta",'Mapa final'!$AC$48="Mayor"),CONCATENATE("R7C",'Mapa final'!$Q$48),"")</f>
        <v/>
      </c>
      <c r="AE12" s="37" t="str">
        <f>IF(AND('Mapa final'!$AA$49="Muy Alta",'Mapa final'!$AC$49="Mayor"),CONCATENATE("R7C",'Mapa final'!$Q$49),"")</f>
        <v/>
      </c>
      <c r="AF12" s="37"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7"/>
      <c r="AO12" s="411"/>
      <c r="AP12" s="412"/>
      <c r="AQ12" s="412"/>
      <c r="AR12" s="412"/>
      <c r="AS12" s="412"/>
      <c r="AT12" s="413"/>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306"/>
      <c r="C13" s="306"/>
      <c r="D13" s="307"/>
      <c r="E13" s="405"/>
      <c r="F13" s="404"/>
      <c r="G13" s="404"/>
      <c r="H13" s="404"/>
      <c r="I13" s="420"/>
      <c r="J13" s="36" t="str">
        <f>IF(AND('Mapa final'!$AA$52="Muy Alta",'Mapa final'!$AC$52="Leve"),CONCATENATE("R8C",'Mapa final'!$Q$52),"")</f>
        <v/>
      </c>
      <c r="K13" s="37" t="str">
        <f>IF(AND('Mapa final'!$AA$53="Muy Alta",'Mapa final'!$AC$53="Leve"),CONCATENATE("R8C",'Mapa final'!$Q$53),"")</f>
        <v/>
      </c>
      <c r="L13" s="37" t="str">
        <f>IF(AND('Mapa final'!$AA$54="Muy Alta",'Mapa final'!$AC$54="Leve"),CONCATENATE("R8C",'Mapa final'!$Q$54),"")</f>
        <v/>
      </c>
      <c r="M13" s="37" t="str">
        <f>IF(AND('Mapa final'!$AA$55="Muy Alta",'Mapa final'!$AC$55="Leve"),CONCATENATE("R8C",'Mapa final'!$Q$55),"")</f>
        <v/>
      </c>
      <c r="N13" s="37"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37" t="str">
        <f>IF(AND('Mapa final'!$AA$54="Muy Alta",'Mapa final'!$AC$54="Menor"),CONCATENATE("R8C",'Mapa final'!$Q$54),"")</f>
        <v/>
      </c>
      <c r="S13" s="37" t="str">
        <f>IF(AND('Mapa final'!$AA$55="Muy Alta",'Mapa final'!$AC$55="Menor"),CONCATENATE("R8C",'Mapa final'!$Q$55),"")</f>
        <v/>
      </c>
      <c r="T13" s="37"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37" t="str">
        <f>IF(AND('Mapa final'!$AA$54="Muy Alta",'Mapa final'!$AC$54="Moderado"),CONCATENATE("R8C",'Mapa final'!$Q$54),"")</f>
        <v/>
      </c>
      <c r="Y13" s="37" t="str">
        <f>IF(AND('Mapa final'!$AA$55="Muy Alta",'Mapa final'!$AC$55="Moderado"),CONCATENATE("R8C",'Mapa final'!$Q$55),"")</f>
        <v/>
      </c>
      <c r="Z13" s="37"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37" t="str">
        <f>IF(AND('Mapa final'!$AA$54="Muy Alta",'Mapa final'!$AC$54="Mayor"),CONCATENATE("R8C",'Mapa final'!$Q$54),"")</f>
        <v/>
      </c>
      <c r="AE13" s="37" t="str">
        <f>IF(AND('Mapa final'!$AA$55="Muy Alta",'Mapa final'!$AC$55="Mayor"),CONCATENATE("R8C",'Mapa final'!$Q$55),"")</f>
        <v/>
      </c>
      <c r="AF13" s="37"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7"/>
      <c r="AO13" s="411"/>
      <c r="AP13" s="412"/>
      <c r="AQ13" s="412"/>
      <c r="AR13" s="412"/>
      <c r="AS13" s="412"/>
      <c r="AT13" s="413"/>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306"/>
      <c r="C14" s="306"/>
      <c r="D14" s="307"/>
      <c r="E14" s="405"/>
      <c r="F14" s="404"/>
      <c r="G14" s="404"/>
      <c r="H14" s="404"/>
      <c r="I14" s="420"/>
      <c r="J14" s="36" t="str">
        <f>IF(AND('Mapa final'!$AA$58="Muy Alta",'Mapa final'!$AC$58="Leve"),CONCATENATE("R9C",'Mapa final'!$Q$58),"")</f>
        <v/>
      </c>
      <c r="K14" s="37" t="str">
        <f>IF(AND('Mapa final'!$AA$59="Muy Alta",'Mapa final'!$AC$59="Leve"),CONCATENATE("R9C",'Mapa final'!$Q$59),"")</f>
        <v/>
      </c>
      <c r="L14" s="37" t="str">
        <f>IF(AND('Mapa final'!$AA$60="Muy Alta",'Mapa final'!$AC$60="Leve"),CONCATENATE("R9C",'Mapa final'!$Q$60),"")</f>
        <v/>
      </c>
      <c r="M14" s="37" t="str">
        <f>IF(AND('Mapa final'!$AA$61="Muy Alta",'Mapa final'!$AC$61="Leve"),CONCATENATE("R9C",'Mapa final'!$Q$61),"")</f>
        <v/>
      </c>
      <c r="N14" s="37"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37" t="str">
        <f>IF(AND('Mapa final'!$AA$60="Muy Alta",'Mapa final'!$AC$60="Menor"),CONCATENATE("R9C",'Mapa final'!$Q$60),"")</f>
        <v/>
      </c>
      <c r="S14" s="37" t="str">
        <f>IF(AND('Mapa final'!$AA$61="Muy Alta",'Mapa final'!$AC$61="Menor"),CONCATENATE("R9C",'Mapa final'!$Q$61),"")</f>
        <v/>
      </c>
      <c r="T14" s="37"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37" t="str">
        <f>IF(AND('Mapa final'!$AA$60="Muy Alta",'Mapa final'!$AC$60="Moderado"),CONCATENATE("R9C",'Mapa final'!$Q$60),"")</f>
        <v/>
      </c>
      <c r="Y14" s="37" t="str">
        <f>IF(AND('Mapa final'!$AA$61="Muy Alta",'Mapa final'!$AC$61="Moderado"),CONCATENATE("R9C",'Mapa final'!$Q$61),"")</f>
        <v/>
      </c>
      <c r="Z14" s="37"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37" t="str">
        <f>IF(AND('Mapa final'!$AA$60="Muy Alta",'Mapa final'!$AC$60="Mayor"),CONCATENATE("R9C",'Mapa final'!$Q$60),"")</f>
        <v/>
      </c>
      <c r="AE14" s="37" t="str">
        <f>IF(AND('Mapa final'!$AA$61="Muy Alta",'Mapa final'!$AC$61="Mayor"),CONCATENATE("R9C",'Mapa final'!$Q$61),"")</f>
        <v/>
      </c>
      <c r="AF14" s="37"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7"/>
      <c r="AO14" s="411"/>
      <c r="AP14" s="412"/>
      <c r="AQ14" s="412"/>
      <c r="AR14" s="412"/>
      <c r="AS14" s="412"/>
      <c r="AT14" s="413"/>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306"/>
      <c r="C15" s="306"/>
      <c r="D15" s="307"/>
      <c r="E15" s="406"/>
      <c r="F15" s="407"/>
      <c r="G15" s="407"/>
      <c r="H15" s="407"/>
      <c r="I15" s="421"/>
      <c r="J15" s="42" t="str">
        <f>IF(AND('Mapa final'!$AA$64="Muy Alta",'Mapa final'!$AC$64="Leve"),CONCATENATE("R10C",'Mapa final'!$Q$64),"")</f>
        <v/>
      </c>
      <c r="K15" s="43" t="str">
        <f>IF(AND('Mapa final'!$AA$65="Muy Alta",'Mapa final'!$AC$65="Leve"),CONCATENATE("R10C",'Mapa final'!$Q$65),"")</f>
        <v/>
      </c>
      <c r="L15" s="43" t="str">
        <f>IF(AND('Mapa final'!$AA$66="Muy Alta",'Mapa final'!$AC$66="Leve"),CONCATENATE("R10C",'Mapa final'!$Q$66),"")</f>
        <v/>
      </c>
      <c r="M15" s="43" t="str">
        <f>IF(AND('Mapa final'!$AA$67="Muy Alta",'Mapa final'!$AC$67="Leve"),CONCATENATE("R10C",'Mapa final'!$Q$67),"")</f>
        <v/>
      </c>
      <c r="N15" s="43" t="str">
        <f>IF(AND('Mapa final'!$AA$68="Muy Alta",'Mapa final'!$AC$68="Leve"),CONCATENATE("R10C",'Mapa final'!$Q$68),"")</f>
        <v/>
      </c>
      <c r="O15" s="44"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2" t="str">
        <f>IF(AND('Mapa final'!$AA$64="Muy Alta",'Mapa final'!$AC$64="Moderado"),CONCATENATE("R10C",'Mapa final'!$Q$64),"")</f>
        <v/>
      </c>
      <c r="W15" s="43" t="str">
        <f>IF(AND('Mapa final'!$AA$65="Muy Alta",'Mapa final'!$AC$65="Moderado"),CONCATENATE("R10C",'Mapa final'!$Q$65),"")</f>
        <v/>
      </c>
      <c r="X15" s="43" t="str">
        <f>IF(AND('Mapa final'!$AA$66="Muy Alta",'Mapa final'!$AC$66="Moderado"),CONCATENATE("R10C",'Mapa final'!$Q$66),"")</f>
        <v/>
      </c>
      <c r="Y15" s="43" t="str">
        <f>IF(AND('Mapa final'!$AA$67="Muy Alta",'Mapa final'!$AC$67="Moderado"),CONCATENATE("R10C",'Mapa final'!$Q$67),"")</f>
        <v/>
      </c>
      <c r="Z15" s="43" t="str">
        <f>IF(AND('Mapa final'!$AA$68="Muy Alta",'Mapa final'!$AC$68="Moderado"),CONCATENATE("R10C",'Mapa final'!$Q$68),"")</f>
        <v/>
      </c>
      <c r="AA15" s="44"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5" t="str">
        <f>IF(AND('Mapa final'!$AA$64="Muy Alta",'Mapa final'!$AC$64="Catastrófico"),CONCATENATE("R10C",'Mapa final'!$Q$64),"")</f>
        <v/>
      </c>
      <c r="AI15" s="46" t="str">
        <f>IF(AND('Mapa final'!$AA$65="Muy Alta",'Mapa final'!$AC$65="Catastrófico"),CONCATENATE("R10C",'Mapa final'!$Q$65),"")</f>
        <v/>
      </c>
      <c r="AJ15" s="46" t="str">
        <f>IF(AND('Mapa final'!$AA$66="Muy Alta",'Mapa final'!$AC$66="Catastrófico"),CONCATENATE("R10C",'Mapa final'!$Q$66),"")</f>
        <v/>
      </c>
      <c r="AK15" s="46" t="str">
        <f>IF(AND('Mapa final'!$AA$67="Muy Alta",'Mapa final'!$AC$67="Catastrófico"),CONCATENATE("R10C",'Mapa final'!$Q$67),"")</f>
        <v/>
      </c>
      <c r="AL15" s="46" t="str">
        <f>IF(AND('Mapa final'!$AA$68="Muy Alta",'Mapa final'!$AC$68="Catastrófico"),CONCATENATE("R10C",'Mapa final'!$Q$68),"")</f>
        <v/>
      </c>
      <c r="AM15" s="47" t="str">
        <f>IF(AND('Mapa final'!$AA$69="Muy Alta",'Mapa final'!$AC$69="Catastrófico"),CONCATENATE("R10C",'Mapa final'!$Q$69),"")</f>
        <v/>
      </c>
      <c r="AN15" s="67"/>
      <c r="AO15" s="414"/>
      <c r="AP15" s="415"/>
      <c r="AQ15" s="415"/>
      <c r="AR15" s="415"/>
      <c r="AS15" s="415"/>
      <c r="AT15" s="416"/>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306"/>
      <c r="C16" s="306"/>
      <c r="D16" s="307"/>
      <c r="E16" s="401" t="s">
        <v>109</v>
      </c>
      <c r="F16" s="402"/>
      <c r="G16" s="402"/>
      <c r="H16" s="402"/>
      <c r="I16" s="402"/>
      <c r="J16" s="48" t="str">
        <f ca="1">IF(AND('Mapa final'!$AA$10="Alta",'Mapa final'!$AC$10="Leve"),CONCATENATE("R1C",'Mapa final'!$Q$10),"")</f>
        <v/>
      </c>
      <c r="K16" s="49" t="str">
        <f ca="1">IF(AND('Mapa final'!$AA$11="Alta",'Mapa final'!$AC$11="Leve"),CONCATENATE("R1C",'Mapa final'!$Q$11),"")</f>
        <v/>
      </c>
      <c r="L16" s="49" t="str">
        <f ca="1">IF(AND('Mapa final'!$AA$12="Alta",'Mapa final'!$AC$12="Leve"),CONCATENATE("R1C",'Mapa final'!$Q$12),"")</f>
        <v/>
      </c>
      <c r="M16" s="49" t="str">
        <f ca="1">IF(AND('Mapa final'!$AA$13="Alta",'Mapa final'!$AC$13="Leve"),CONCATENATE("R1C",'Mapa final'!$Q$13),"")</f>
        <v/>
      </c>
      <c r="N16" s="49" t="str">
        <f ca="1">IF(AND('Mapa final'!$AA$14="Alta",'Mapa final'!$AC$14="Leve"),CONCATENATE("R1C",'Mapa final'!$Q$14),"")</f>
        <v/>
      </c>
      <c r="O16" s="50" t="str">
        <f>IF(AND('Mapa final'!$AA$15="Alta",'Mapa final'!$AC$15="Leve"),CONCATENATE("R1C",'Mapa final'!$Q$15),"")</f>
        <v/>
      </c>
      <c r="P16" s="48" t="str">
        <f ca="1">IF(AND('Mapa final'!$AA$10="Alta",'Mapa final'!$AC$10="Menor"),CONCATENATE("R1C",'Mapa final'!$Q$10),"")</f>
        <v/>
      </c>
      <c r="Q16" s="49" t="str">
        <f ca="1">IF(AND('Mapa final'!$AA$11="Alta",'Mapa final'!$AC$11="Menor"),CONCATENATE("R1C",'Mapa final'!$Q$11),"")</f>
        <v/>
      </c>
      <c r="R16" s="49" t="str">
        <f ca="1">IF(AND('Mapa final'!$AA$12="Alta",'Mapa final'!$AC$12="Menor"),CONCATENATE("R1C",'Mapa final'!$Q$12),"")</f>
        <v/>
      </c>
      <c r="S16" s="49" t="str">
        <f ca="1">IF(AND('Mapa final'!$AA$13="Alta",'Mapa final'!$AC$13="Menor"),CONCATENATE("R1C",'Mapa final'!$Q$13),"")</f>
        <v/>
      </c>
      <c r="T16" s="49" t="str">
        <f ca="1">IF(AND('Mapa final'!$AA$14="Alta",'Mapa final'!$AC$14="Menor"),CONCATENATE("R1C",'Mapa final'!$Q$14),"")</f>
        <v/>
      </c>
      <c r="U16" s="50" t="str">
        <f>IF(AND('Mapa final'!$AA$15="Alta",'Mapa final'!$AC$15="Menor"),CONCATENATE("R1C",'Mapa final'!$Q$15),"")</f>
        <v/>
      </c>
      <c r="V16" s="30" t="str">
        <f ca="1">IF(AND('Mapa final'!$AA$10="Alta",'Mapa final'!$AC$10="Moderado"),CONCATENATE("R1C",'Mapa final'!$Q$10),"")</f>
        <v/>
      </c>
      <c r="W16" s="31" t="str">
        <f ca="1">IF(AND('Mapa final'!$AA$11="Alta",'Mapa final'!$AC$11="Moderado"),CONCATENATE("R1C",'Mapa final'!$Q$11),"")</f>
        <v/>
      </c>
      <c r="X16" s="31" t="str">
        <f ca="1">IF(AND('Mapa final'!$AA$12="Alta",'Mapa final'!$AC$12="Moderado"),CONCATENATE("R1C",'Mapa final'!$Q$12),"")</f>
        <v/>
      </c>
      <c r="Y16" s="31" t="str">
        <f ca="1">IF(AND('Mapa final'!$AA$13="Alta",'Mapa final'!$AC$13="Moderado"),CONCATENATE("R1C",'Mapa final'!$Q$13),"")</f>
        <v/>
      </c>
      <c r="Z16" s="31" t="str">
        <f ca="1">IF(AND('Mapa final'!$AA$14="Alta",'Mapa final'!$AC$14="Moderado"),CONCATENATE("R1C",'Mapa final'!$Q$14),"")</f>
        <v/>
      </c>
      <c r="AA16" s="32" t="str">
        <f>IF(AND('Mapa final'!$AA$15="Alta",'Mapa final'!$AC$15="Moderado"),CONCATENATE("R1C",'Mapa final'!$Q$15),"")</f>
        <v/>
      </c>
      <c r="AB16" s="30" t="str">
        <f ca="1">IF(AND('Mapa final'!$AA$10="Alta",'Mapa final'!$AC$10="Mayor"),CONCATENATE("R1C",'Mapa final'!$Q$10),"")</f>
        <v/>
      </c>
      <c r="AC16" s="31" t="str">
        <f ca="1">IF(AND('Mapa final'!$AA$11="Alta",'Mapa final'!$AC$11="Mayor"),CONCATENATE("R1C",'Mapa final'!$Q$11),"")</f>
        <v/>
      </c>
      <c r="AD16" s="31" t="str">
        <f ca="1">IF(AND('Mapa final'!$AA$12="Alta",'Mapa final'!$AC$12="Mayor"),CONCATENATE("R1C",'Mapa final'!$Q$12),"")</f>
        <v/>
      </c>
      <c r="AE16" s="31" t="str">
        <f ca="1">IF(AND('Mapa final'!$AA$13="Alta",'Mapa final'!$AC$13="Mayor"),CONCATENATE("R1C",'Mapa final'!$Q$13),"")</f>
        <v/>
      </c>
      <c r="AF16" s="31" t="str">
        <f ca="1">IF(AND('Mapa final'!$AA$14="Alta",'Mapa final'!$AC$14="Mayor"),CONCATENATE("R1C",'Mapa final'!$Q$14),"")</f>
        <v/>
      </c>
      <c r="AG16" s="32" t="str">
        <f>IF(AND('Mapa final'!$AA$15="Alta",'Mapa final'!$AC$15="Mayor"),CONCATENATE("R1C",'Mapa final'!$Q$15),"")</f>
        <v/>
      </c>
      <c r="AH16" s="33" t="str">
        <f ca="1">IF(AND('Mapa final'!$AA$10="Alta",'Mapa final'!$AC$10="Catastrófico"),CONCATENATE("R1C",'Mapa final'!$Q$10),"")</f>
        <v/>
      </c>
      <c r="AI16" s="34" t="str">
        <f ca="1">IF(AND('Mapa final'!$AA$11="Alta",'Mapa final'!$AC$11="Catastrófico"),CONCATENATE("R1C",'Mapa final'!$Q$11),"")</f>
        <v/>
      </c>
      <c r="AJ16" s="34" t="str">
        <f ca="1">IF(AND('Mapa final'!$AA$12="Alta",'Mapa final'!$AC$12="Catastrófico"),CONCATENATE("R1C",'Mapa final'!$Q$12),"")</f>
        <v/>
      </c>
      <c r="AK16" s="34" t="str">
        <f ca="1">IF(AND('Mapa final'!$AA$13="Alta",'Mapa final'!$AC$13="Catastrófico"),CONCATENATE("R1C",'Mapa final'!$Q$13),"")</f>
        <v/>
      </c>
      <c r="AL16" s="34" t="str">
        <f ca="1">IF(AND('Mapa final'!$AA$14="Alta",'Mapa final'!$AC$14="Catastrófico"),CONCATENATE("R1C",'Mapa final'!$Q$14),"")</f>
        <v/>
      </c>
      <c r="AM16" s="35" t="str">
        <f>IF(AND('Mapa final'!$AA$15="Alta",'Mapa final'!$AC$15="Catastrófico"),CONCATENATE("R1C",'Mapa final'!$Q$15),"")</f>
        <v/>
      </c>
      <c r="AN16" s="67"/>
      <c r="AO16" s="392" t="s">
        <v>78</v>
      </c>
      <c r="AP16" s="393"/>
      <c r="AQ16" s="393"/>
      <c r="AR16" s="393"/>
      <c r="AS16" s="393"/>
      <c r="AT16" s="394"/>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306"/>
      <c r="C17" s="306"/>
      <c r="D17" s="307"/>
      <c r="E17" s="403"/>
      <c r="F17" s="404"/>
      <c r="G17" s="404"/>
      <c r="H17" s="404"/>
      <c r="I17" s="404"/>
      <c r="J17" s="51" t="str">
        <f>IF(AND('Mapa final'!$AA$16="Alta",'Mapa final'!$AC$16="Leve"),CONCATENATE("R2C",'Mapa final'!$Q$16),"")</f>
        <v/>
      </c>
      <c r="K17" s="52" t="str">
        <f>IF(AND('Mapa final'!$AA$17="Alta",'Mapa final'!$AC$17="Leve"),CONCATENATE("R2C",'Mapa final'!$Q$17),"")</f>
        <v/>
      </c>
      <c r="L17" s="52" t="str">
        <f>IF(AND('Mapa final'!$AA$18="Alta",'Mapa final'!$AC$18="Leve"),CONCATENATE("R2C",'Mapa final'!$Q$18),"")</f>
        <v/>
      </c>
      <c r="M17" s="52" t="str">
        <f>IF(AND('Mapa final'!$AA$19="Alta",'Mapa final'!$AC$19="Leve"),CONCATENATE("R2C",'Mapa final'!$Q$19),"")</f>
        <v/>
      </c>
      <c r="N17" s="52" t="str">
        <f>IF(AND('Mapa final'!$AA$20="Alta",'Mapa final'!$AC$20="Leve"),CONCATENATE("R2C",'Mapa final'!$Q$20),"")</f>
        <v/>
      </c>
      <c r="O17" s="53" t="str">
        <f>IF(AND('Mapa final'!$AA$21="Alta",'Mapa final'!$AC$21="Leve"),CONCATENATE("R2C",'Mapa final'!$Q$21),"")</f>
        <v/>
      </c>
      <c r="P17" s="51" t="str">
        <f>IF(AND('Mapa final'!$AA$16="Alta",'Mapa final'!$AC$16="Menor"),CONCATENATE("R2C",'Mapa final'!$Q$16),"")</f>
        <v/>
      </c>
      <c r="Q17" s="52" t="str">
        <f>IF(AND('Mapa final'!$AA$17="Alta",'Mapa final'!$AC$17="Menor"),CONCATENATE("R2C",'Mapa final'!$Q$17),"")</f>
        <v/>
      </c>
      <c r="R17" s="52" t="str">
        <f>IF(AND('Mapa final'!$AA$18="Alta",'Mapa final'!$AC$18="Menor"),CONCATENATE("R2C",'Mapa final'!$Q$18),"")</f>
        <v/>
      </c>
      <c r="S17" s="52" t="str">
        <f>IF(AND('Mapa final'!$AA$19="Alta",'Mapa final'!$AC$19="Menor"),CONCATENATE("R2C",'Mapa final'!$Q$19),"")</f>
        <v/>
      </c>
      <c r="T17" s="52" t="str">
        <f>IF(AND('Mapa final'!$AA$20="Alta",'Mapa final'!$AC$20="Menor"),CONCATENATE("R2C",'Mapa final'!$Q$20),"")</f>
        <v/>
      </c>
      <c r="U17" s="53" t="str">
        <f>IF(AND('Mapa final'!$AA$21="Alta",'Mapa final'!$AC$21="Menor"),CONCATENATE("R2C",'Mapa final'!$Q$21),"")</f>
        <v/>
      </c>
      <c r="V17" s="36" t="str">
        <f>IF(AND('Mapa final'!$AA$16="Alta",'Mapa final'!$AC$16="Moderado"),CONCATENATE("R2C",'Mapa final'!$Q$16),"")</f>
        <v/>
      </c>
      <c r="W17" s="37" t="str">
        <f>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IF(AND('Mapa final'!$AA$16="Alta",'Mapa final'!$AC$16="Mayor"),CONCATENATE("R2C",'Mapa final'!$Q$16),"")</f>
        <v/>
      </c>
      <c r="AC17" s="37" t="str">
        <f>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IF(AND('Mapa final'!$AA$16="Alta",'Mapa final'!$AC$16="Catastrófico"),CONCATENATE("R2C",'Mapa final'!$Q$16),"")</f>
        <v/>
      </c>
      <c r="AI17" s="40" t="str">
        <f>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7"/>
      <c r="AO17" s="395"/>
      <c r="AP17" s="396"/>
      <c r="AQ17" s="396"/>
      <c r="AR17" s="396"/>
      <c r="AS17" s="396"/>
      <c r="AT17" s="39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306"/>
      <c r="C18" s="306"/>
      <c r="D18" s="307"/>
      <c r="E18" s="405"/>
      <c r="F18" s="404"/>
      <c r="G18" s="404"/>
      <c r="H18" s="404"/>
      <c r="I18" s="404"/>
      <c r="J18" s="51" t="str">
        <f>IF(AND('Mapa final'!$AA$22="Alta",'Mapa final'!$AC$22="Leve"),CONCATENATE("R3C",'Mapa final'!$Q$22),"")</f>
        <v/>
      </c>
      <c r="K18" s="52" t="str">
        <f>IF(AND('Mapa final'!$AA$23="Alta",'Mapa final'!$AC$23="Leve"),CONCATENATE("R3C",'Mapa final'!$Q$23),"")</f>
        <v/>
      </c>
      <c r="L18" s="52" t="str">
        <f>IF(AND('Mapa final'!$AA$24="Alta",'Mapa final'!$AC$24="Leve"),CONCATENATE("R3C",'Mapa final'!$Q$24),"")</f>
        <v/>
      </c>
      <c r="M18" s="52" t="str">
        <f>IF(AND('Mapa final'!$AA$25="Alta",'Mapa final'!$AC$25="Leve"),CONCATENATE("R3C",'Mapa final'!$Q$25),"")</f>
        <v/>
      </c>
      <c r="N18" s="52" t="str">
        <f>IF(AND('Mapa final'!$AA$26="Alta",'Mapa final'!$AC$26="Leve"),CONCATENATE("R3C",'Mapa final'!$Q$26),"")</f>
        <v/>
      </c>
      <c r="O18" s="53" t="str">
        <f>IF(AND('Mapa final'!$AA$27="Alta",'Mapa final'!$AC$27="Leve"),CONCATENATE("R3C",'Mapa final'!$Q$27),"")</f>
        <v/>
      </c>
      <c r="P18" s="51" t="str">
        <f>IF(AND('Mapa final'!$AA$22="Alta",'Mapa final'!$AC$22="Menor"),CONCATENATE("R3C",'Mapa final'!$Q$22),"")</f>
        <v/>
      </c>
      <c r="Q18" s="52" t="str">
        <f>IF(AND('Mapa final'!$AA$23="Alta",'Mapa final'!$AC$23="Menor"),CONCATENATE("R3C",'Mapa final'!$Q$23),"")</f>
        <v/>
      </c>
      <c r="R18" s="52" t="str">
        <f>IF(AND('Mapa final'!$AA$24="Alta",'Mapa final'!$AC$24="Menor"),CONCATENATE("R3C",'Mapa final'!$Q$24),"")</f>
        <v/>
      </c>
      <c r="S18" s="52" t="str">
        <f>IF(AND('Mapa final'!$AA$25="Alta",'Mapa final'!$AC$25="Menor"),CONCATENATE("R3C",'Mapa final'!$Q$25),"")</f>
        <v/>
      </c>
      <c r="T18" s="52" t="str">
        <f>IF(AND('Mapa final'!$AA$26="Alta",'Mapa final'!$AC$26="Menor"),CONCATENATE("R3C",'Mapa final'!$Q$26),"")</f>
        <v/>
      </c>
      <c r="U18" s="53" t="str">
        <f>IF(AND('Mapa final'!$AA$27="Alta",'Mapa final'!$AC$27="Menor"),CONCATENATE("R3C",'Mapa final'!$Q$27),"")</f>
        <v/>
      </c>
      <c r="V18" s="36" t="str">
        <f>IF(AND('Mapa final'!$AA$22="Alta",'Mapa final'!$AC$22="Moderado"),CONCATENATE("R3C",'Mapa final'!$Q$22),"")</f>
        <v/>
      </c>
      <c r="W18" s="37" t="str">
        <f>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IF(AND('Mapa final'!$AA$22="Alta",'Mapa final'!$AC$22="Mayor"),CONCATENATE("R3C",'Mapa final'!$Q$22),"")</f>
        <v/>
      </c>
      <c r="AC18" s="37" t="str">
        <f>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IF(AND('Mapa final'!$AA$22="Alta",'Mapa final'!$AC$22="Catastrófico"),CONCATENATE("R3C",'Mapa final'!$Q$22),"")</f>
        <v/>
      </c>
      <c r="AI18" s="40" t="str">
        <f>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7"/>
      <c r="AO18" s="395"/>
      <c r="AP18" s="396"/>
      <c r="AQ18" s="396"/>
      <c r="AR18" s="396"/>
      <c r="AS18" s="396"/>
      <c r="AT18" s="39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306"/>
      <c r="C19" s="306"/>
      <c r="D19" s="307"/>
      <c r="E19" s="405"/>
      <c r="F19" s="404"/>
      <c r="G19" s="404"/>
      <c r="H19" s="404"/>
      <c r="I19" s="404"/>
      <c r="J19" s="51" t="str">
        <f>IF(AND('Mapa final'!$AA$28="Alta",'Mapa final'!$AC$28="Leve"),CONCATENATE("R4C",'Mapa final'!$Q$28),"")</f>
        <v/>
      </c>
      <c r="K19" s="52" t="str">
        <f>IF(AND('Mapa final'!$AA$29="Alta",'Mapa final'!$AC$29="Leve"),CONCATENATE("R4C",'Mapa final'!$Q$29),"")</f>
        <v/>
      </c>
      <c r="L19" s="52" t="str">
        <f>IF(AND('Mapa final'!$AA$30="Alta",'Mapa final'!$AC$30="Leve"),CONCATENATE("R4C",'Mapa final'!$Q$30),"")</f>
        <v/>
      </c>
      <c r="M19" s="52" t="str">
        <f>IF(AND('Mapa final'!$AA$31="Alta",'Mapa final'!$AC$31="Leve"),CONCATENATE("R4C",'Mapa final'!$Q$31),"")</f>
        <v/>
      </c>
      <c r="N19" s="52" t="str">
        <f>IF(AND('Mapa final'!$AA$32="Alta",'Mapa final'!$AC$32="Leve"),CONCATENATE("R4C",'Mapa final'!$Q$32),"")</f>
        <v/>
      </c>
      <c r="O19" s="53" t="str">
        <f>IF(AND('Mapa final'!$AA$33="Alta",'Mapa final'!$AC$33="Leve"),CONCATENATE("R4C",'Mapa final'!$Q$33),"")</f>
        <v/>
      </c>
      <c r="P19" s="51" t="str">
        <f>IF(AND('Mapa final'!$AA$28="Alta",'Mapa final'!$AC$28="Menor"),CONCATENATE("R4C",'Mapa final'!$Q$28),"")</f>
        <v/>
      </c>
      <c r="Q19" s="52" t="str">
        <f>IF(AND('Mapa final'!$AA$29="Alta",'Mapa final'!$AC$29="Menor"),CONCATENATE("R4C",'Mapa final'!$Q$29),"")</f>
        <v/>
      </c>
      <c r="R19" s="52" t="str">
        <f>IF(AND('Mapa final'!$AA$30="Alta",'Mapa final'!$AC$30="Menor"),CONCATENATE("R4C",'Mapa final'!$Q$30),"")</f>
        <v/>
      </c>
      <c r="S19" s="52" t="str">
        <f>IF(AND('Mapa final'!$AA$31="Alta",'Mapa final'!$AC$31="Menor"),CONCATENATE("R4C",'Mapa final'!$Q$31),"")</f>
        <v/>
      </c>
      <c r="T19" s="52" t="str">
        <f>IF(AND('Mapa final'!$AA$32="Alta",'Mapa final'!$AC$32="Menor"),CONCATENATE("R4C",'Mapa final'!$Q$32),"")</f>
        <v/>
      </c>
      <c r="U19" s="53"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37" t="str">
        <f>IF(AND('Mapa final'!$AA$30="Alta",'Mapa final'!$AC$30="Moderado"),CONCATENATE("R4C",'Mapa final'!$Q$30),"")</f>
        <v/>
      </c>
      <c r="Y19" s="37" t="str">
        <f>IF(AND('Mapa final'!$AA$31="Alta",'Mapa final'!$AC$31="Moderado"),CONCATENATE("R4C",'Mapa final'!$Q$31),"")</f>
        <v/>
      </c>
      <c r="Z19" s="37"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37" t="str">
        <f>IF(AND('Mapa final'!$AA$30="Alta",'Mapa final'!$AC$30="Mayor"),CONCATENATE("R4C",'Mapa final'!$Q$30),"")</f>
        <v/>
      </c>
      <c r="AE19" s="37" t="str">
        <f>IF(AND('Mapa final'!$AA$31="Alta",'Mapa final'!$AC$31="Mayor"),CONCATENATE("R4C",'Mapa final'!$Q$31),"")</f>
        <v/>
      </c>
      <c r="AF19" s="37"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7"/>
      <c r="AO19" s="395"/>
      <c r="AP19" s="396"/>
      <c r="AQ19" s="396"/>
      <c r="AR19" s="396"/>
      <c r="AS19" s="396"/>
      <c r="AT19" s="39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306"/>
      <c r="C20" s="306"/>
      <c r="D20" s="307"/>
      <c r="E20" s="405"/>
      <c r="F20" s="404"/>
      <c r="G20" s="404"/>
      <c r="H20" s="404"/>
      <c r="I20" s="404"/>
      <c r="J20" s="51" t="str">
        <f>IF(AND('Mapa final'!$AA$34="Alta",'Mapa final'!$AC$34="Leve"),CONCATENATE("R5C",'Mapa final'!$Q$34),"")</f>
        <v/>
      </c>
      <c r="K20" s="52" t="str">
        <f>IF(AND('Mapa final'!$AA$35="Alta",'Mapa final'!$AC$35="Leve"),CONCATENATE("R5C",'Mapa final'!$Q$35),"")</f>
        <v/>
      </c>
      <c r="L20" s="52" t="str">
        <f>IF(AND('Mapa final'!$AA$36="Alta",'Mapa final'!$AC$36="Leve"),CONCATENATE("R5C",'Mapa final'!$Q$36),"")</f>
        <v/>
      </c>
      <c r="M20" s="52" t="str">
        <f>IF(AND('Mapa final'!$AA$37="Alta",'Mapa final'!$AC$37="Leve"),CONCATENATE("R5C",'Mapa final'!$Q$37),"")</f>
        <v/>
      </c>
      <c r="N20" s="52" t="str">
        <f>IF(AND('Mapa final'!$AA$38="Alta",'Mapa final'!$AC$38="Leve"),CONCATENATE("R5C",'Mapa final'!$Q$38),"")</f>
        <v/>
      </c>
      <c r="O20" s="53" t="str">
        <f>IF(AND('Mapa final'!$AA$39="Alta",'Mapa final'!$AC$39="Leve"),CONCATENATE("R5C",'Mapa final'!$Q$39),"")</f>
        <v/>
      </c>
      <c r="P20" s="51" t="str">
        <f>IF(AND('Mapa final'!$AA$34="Alta",'Mapa final'!$AC$34="Menor"),CONCATENATE("R5C",'Mapa final'!$Q$34),"")</f>
        <v/>
      </c>
      <c r="Q20" s="52" t="str">
        <f>IF(AND('Mapa final'!$AA$35="Alta",'Mapa final'!$AC$35="Menor"),CONCATENATE("R5C",'Mapa final'!$Q$35),"")</f>
        <v/>
      </c>
      <c r="R20" s="52" t="str">
        <f>IF(AND('Mapa final'!$AA$36="Alta",'Mapa final'!$AC$36="Menor"),CONCATENATE("R5C",'Mapa final'!$Q$36),"")</f>
        <v/>
      </c>
      <c r="S20" s="52" t="str">
        <f>IF(AND('Mapa final'!$AA$37="Alta",'Mapa final'!$AC$37="Menor"),CONCATENATE("R5C",'Mapa final'!$Q$37),"")</f>
        <v/>
      </c>
      <c r="T20" s="52" t="str">
        <f>IF(AND('Mapa final'!$AA$38="Alta",'Mapa final'!$AC$38="Menor"),CONCATENATE("R5C",'Mapa final'!$Q$38),"")</f>
        <v/>
      </c>
      <c r="U20" s="53"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37" t="str">
        <f>IF(AND('Mapa final'!$AA$36="Alta",'Mapa final'!$AC$36="Moderado"),CONCATENATE("R5C",'Mapa final'!$Q$36),"")</f>
        <v/>
      </c>
      <c r="Y20" s="37" t="str">
        <f>IF(AND('Mapa final'!$AA$37="Alta",'Mapa final'!$AC$37="Moderado"),CONCATENATE("R5C",'Mapa final'!$Q$37),"")</f>
        <v/>
      </c>
      <c r="Z20" s="37"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37" t="str">
        <f>IF(AND('Mapa final'!$AA$36="Alta",'Mapa final'!$AC$36="Mayor"),CONCATENATE("R5C",'Mapa final'!$Q$36),"")</f>
        <v/>
      </c>
      <c r="AE20" s="37" t="str">
        <f>IF(AND('Mapa final'!$AA$37="Alta",'Mapa final'!$AC$37="Mayor"),CONCATENATE("R5C",'Mapa final'!$Q$37),"")</f>
        <v/>
      </c>
      <c r="AF20" s="37"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7"/>
      <c r="AO20" s="395"/>
      <c r="AP20" s="396"/>
      <c r="AQ20" s="396"/>
      <c r="AR20" s="396"/>
      <c r="AS20" s="396"/>
      <c r="AT20" s="39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306"/>
      <c r="C21" s="306"/>
      <c r="D21" s="307"/>
      <c r="E21" s="405"/>
      <c r="F21" s="404"/>
      <c r="G21" s="404"/>
      <c r="H21" s="404"/>
      <c r="I21" s="404"/>
      <c r="J21" s="51" t="str">
        <f>IF(AND('Mapa final'!$AA$40="Alta",'Mapa final'!$AC$40="Leve"),CONCATENATE("R6C",'Mapa final'!$Q$40),"")</f>
        <v/>
      </c>
      <c r="K21" s="52" t="str">
        <f>IF(AND('Mapa final'!$AA$41="Alta",'Mapa final'!$AC$41="Leve"),CONCATENATE("R6C",'Mapa final'!$Q$41),"")</f>
        <v/>
      </c>
      <c r="L21" s="52" t="str">
        <f>IF(AND('Mapa final'!$AA$42="Alta",'Mapa final'!$AC$42="Leve"),CONCATENATE("R6C",'Mapa final'!$Q$42),"")</f>
        <v/>
      </c>
      <c r="M21" s="52" t="str">
        <f>IF(AND('Mapa final'!$AA$43="Alta",'Mapa final'!$AC$43="Leve"),CONCATENATE("R6C",'Mapa final'!$Q$43),"")</f>
        <v/>
      </c>
      <c r="N21" s="52" t="str">
        <f>IF(AND('Mapa final'!$AA$44="Alta",'Mapa final'!$AC$44="Leve"),CONCATENATE("R6C",'Mapa final'!$Q$44),"")</f>
        <v/>
      </c>
      <c r="O21" s="53" t="str">
        <f>IF(AND('Mapa final'!$AA$45="Alta",'Mapa final'!$AC$45="Leve"),CONCATENATE("R6C",'Mapa final'!$Q$45),"")</f>
        <v/>
      </c>
      <c r="P21" s="51" t="str">
        <f>IF(AND('Mapa final'!$AA$40="Alta",'Mapa final'!$AC$40="Menor"),CONCATENATE("R6C",'Mapa final'!$Q$40),"")</f>
        <v/>
      </c>
      <c r="Q21" s="52" t="str">
        <f>IF(AND('Mapa final'!$AA$41="Alta",'Mapa final'!$AC$41="Menor"),CONCATENATE("R6C",'Mapa final'!$Q$41),"")</f>
        <v/>
      </c>
      <c r="R21" s="52" t="str">
        <f>IF(AND('Mapa final'!$AA$42="Alta",'Mapa final'!$AC$42="Menor"),CONCATENATE("R6C",'Mapa final'!$Q$42),"")</f>
        <v/>
      </c>
      <c r="S21" s="52" t="str">
        <f>IF(AND('Mapa final'!$AA$43="Alta",'Mapa final'!$AC$43="Menor"),CONCATENATE("R6C",'Mapa final'!$Q$43),"")</f>
        <v/>
      </c>
      <c r="T21" s="52" t="str">
        <f>IF(AND('Mapa final'!$AA$44="Alta",'Mapa final'!$AC$44="Menor"),CONCATENATE("R6C",'Mapa final'!$Q$44),"")</f>
        <v/>
      </c>
      <c r="U21" s="53"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37" t="str">
        <f>IF(AND('Mapa final'!$AA$42="Alta",'Mapa final'!$AC$42="Moderado"),CONCATENATE("R6C",'Mapa final'!$Q$42),"")</f>
        <v/>
      </c>
      <c r="Y21" s="37" t="str">
        <f>IF(AND('Mapa final'!$AA$43="Alta",'Mapa final'!$AC$43="Moderado"),CONCATENATE("R6C",'Mapa final'!$Q$43),"")</f>
        <v/>
      </c>
      <c r="Z21" s="37"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37" t="str">
        <f>IF(AND('Mapa final'!$AA$42="Alta",'Mapa final'!$AC$42="Mayor"),CONCATENATE("R6C",'Mapa final'!$Q$42),"")</f>
        <v/>
      </c>
      <c r="AE21" s="37" t="str">
        <f>IF(AND('Mapa final'!$AA$43="Alta",'Mapa final'!$AC$43="Mayor"),CONCATENATE("R6C",'Mapa final'!$Q$43),"")</f>
        <v/>
      </c>
      <c r="AF21" s="37"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7"/>
      <c r="AO21" s="395"/>
      <c r="AP21" s="396"/>
      <c r="AQ21" s="396"/>
      <c r="AR21" s="396"/>
      <c r="AS21" s="396"/>
      <c r="AT21" s="39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306"/>
      <c r="C22" s="306"/>
      <c r="D22" s="307"/>
      <c r="E22" s="405"/>
      <c r="F22" s="404"/>
      <c r="G22" s="404"/>
      <c r="H22" s="404"/>
      <c r="I22" s="404"/>
      <c r="J22" s="51" t="str">
        <f>IF(AND('Mapa final'!$AA$46="Alta",'Mapa final'!$AC$46="Leve"),CONCATENATE("R7C",'Mapa final'!$Q$46),"")</f>
        <v/>
      </c>
      <c r="K22" s="52" t="str">
        <f>IF(AND('Mapa final'!$AA$47="Alta",'Mapa final'!$AC$47="Leve"),CONCATENATE("R7C",'Mapa final'!$Q$47),"")</f>
        <v/>
      </c>
      <c r="L22" s="52" t="str">
        <f>IF(AND('Mapa final'!$AA$48="Alta",'Mapa final'!$AC$48="Leve"),CONCATENATE("R7C",'Mapa final'!$Q$48),"")</f>
        <v/>
      </c>
      <c r="M22" s="52" t="str">
        <f>IF(AND('Mapa final'!$AA$49="Alta",'Mapa final'!$AC$49="Leve"),CONCATENATE("R7C",'Mapa final'!$Q$49),"")</f>
        <v/>
      </c>
      <c r="N22" s="52" t="str">
        <f>IF(AND('Mapa final'!$AA$50="Alta",'Mapa final'!$AC$50="Leve"),CONCATENATE("R7C",'Mapa final'!$Q$50),"")</f>
        <v/>
      </c>
      <c r="O22" s="53" t="str">
        <f>IF(AND('Mapa final'!$AA$51="Alta",'Mapa final'!$AC$51="Leve"),CONCATENATE("R7C",'Mapa final'!$Q$51),"")</f>
        <v/>
      </c>
      <c r="P22" s="51" t="str">
        <f>IF(AND('Mapa final'!$AA$46="Alta",'Mapa final'!$AC$46="Menor"),CONCATENATE("R7C",'Mapa final'!$Q$46),"")</f>
        <v/>
      </c>
      <c r="Q22" s="52" t="str">
        <f>IF(AND('Mapa final'!$AA$47="Alta",'Mapa final'!$AC$47="Menor"),CONCATENATE("R7C",'Mapa final'!$Q$47),"")</f>
        <v/>
      </c>
      <c r="R22" s="52" t="str">
        <f>IF(AND('Mapa final'!$AA$48="Alta",'Mapa final'!$AC$48="Menor"),CONCATENATE("R7C",'Mapa final'!$Q$48),"")</f>
        <v/>
      </c>
      <c r="S22" s="52" t="str">
        <f>IF(AND('Mapa final'!$AA$49="Alta",'Mapa final'!$AC$49="Menor"),CONCATENATE("R7C",'Mapa final'!$Q$49),"")</f>
        <v/>
      </c>
      <c r="T22" s="52" t="str">
        <f>IF(AND('Mapa final'!$AA$50="Alta",'Mapa final'!$AC$50="Menor"),CONCATENATE("R7C",'Mapa final'!$Q$50),"")</f>
        <v/>
      </c>
      <c r="U22" s="53"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37" t="str">
        <f>IF(AND('Mapa final'!$AA$48="Alta",'Mapa final'!$AC$48="Moderado"),CONCATENATE("R7C",'Mapa final'!$Q$48),"")</f>
        <v/>
      </c>
      <c r="Y22" s="37" t="str">
        <f>IF(AND('Mapa final'!$AA$49="Alta",'Mapa final'!$AC$49="Moderado"),CONCATENATE("R7C",'Mapa final'!$Q$49),"")</f>
        <v/>
      </c>
      <c r="Z22" s="37"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37" t="str">
        <f>IF(AND('Mapa final'!$AA$48="Alta",'Mapa final'!$AC$48="Mayor"),CONCATENATE("R7C",'Mapa final'!$Q$48),"")</f>
        <v/>
      </c>
      <c r="AE22" s="37" t="str">
        <f>IF(AND('Mapa final'!$AA$49="Alta",'Mapa final'!$AC$49="Mayor"),CONCATENATE("R7C",'Mapa final'!$Q$49),"")</f>
        <v/>
      </c>
      <c r="AF22" s="37"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7"/>
      <c r="AO22" s="395"/>
      <c r="AP22" s="396"/>
      <c r="AQ22" s="396"/>
      <c r="AR22" s="396"/>
      <c r="AS22" s="396"/>
      <c r="AT22" s="39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306"/>
      <c r="C23" s="306"/>
      <c r="D23" s="307"/>
      <c r="E23" s="405"/>
      <c r="F23" s="404"/>
      <c r="G23" s="404"/>
      <c r="H23" s="404"/>
      <c r="I23" s="404"/>
      <c r="J23" s="51" t="str">
        <f>IF(AND('Mapa final'!$AA$52="Alta",'Mapa final'!$AC$52="Leve"),CONCATENATE("R8C",'Mapa final'!$Q$52),"")</f>
        <v/>
      </c>
      <c r="K23" s="52" t="str">
        <f>IF(AND('Mapa final'!$AA$53="Alta",'Mapa final'!$AC$53="Leve"),CONCATENATE("R8C",'Mapa final'!$Q$53),"")</f>
        <v/>
      </c>
      <c r="L23" s="52" t="str">
        <f>IF(AND('Mapa final'!$AA$54="Alta",'Mapa final'!$AC$54="Leve"),CONCATENATE("R8C",'Mapa final'!$Q$54),"")</f>
        <v/>
      </c>
      <c r="M23" s="52" t="str">
        <f>IF(AND('Mapa final'!$AA$55="Alta",'Mapa final'!$AC$55="Leve"),CONCATENATE("R8C",'Mapa final'!$Q$55),"")</f>
        <v/>
      </c>
      <c r="N23" s="52" t="str">
        <f>IF(AND('Mapa final'!$AA$56="Alta",'Mapa final'!$AC$56="Leve"),CONCATENATE("R8C",'Mapa final'!$Q$56),"")</f>
        <v/>
      </c>
      <c r="O23" s="53" t="str">
        <f>IF(AND('Mapa final'!$AA$57="Alta",'Mapa final'!$AC$57="Leve"),CONCATENATE("R8C",'Mapa final'!$Q$57),"")</f>
        <v/>
      </c>
      <c r="P23" s="51" t="str">
        <f>IF(AND('Mapa final'!$AA$52="Alta",'Mapa final'!$AC$52="Menor"),CONCATENATE("R8C",'Mapa final'!$Q$52),"")</f>
        <v/>
      </c>
      <c r="Q23" s="52" t="str">
        <f>IF(AND('Mapa final'!$AA$53="Alta",'Mapa final'!$AC$53="Menor"),CONCATENATE("R8C",'Mapa final'!$Q$53),"")</f>
        <v/>
      </c>
      <c r="R23" s="52" t="str">
        <f>IF(AND('Mapa final'!$AA$54="Alta",'Mapa final'!$AC$54="Menor"),CONCATENATE("R8C",'Mapa final'!$Q$54),"")</f>
        <v/>
      </c>
      <c r="S23" s="52" t="str">
        <f>IF(AND('Mapa final'!$AA$55="Alta",'Mapa final'!$AC$55="Menor"),CONCATENATE("R8C",'Mapa final'!$Q$55),"")</f>
        <v/>
      </c>
      <c r="T23" s="52" t="str">
        <f>IF(AND('Mapa final'!$AA$56="Alta",'Mapa final'!$AC$56="Menor"),CONCATENATE("R8C",'Mapa final'!$Q$56),"")</f>
        <v/>
      </c>
      <c r="U23" s="53"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37" t="str">
        <f>IF(AND('Mapa final'!$AA$54="Alta",'Mapa final'!$AC$54="Moderado"),CONCATENATE("R8C",'Mapa final'!$Q$54),"")</f>
        <v/>
      </c>
      <c r="Y23" s="37" t="str">
        <f>IF(AND('Mapa final'!$AA$55="Alta",'Mapa final'!$AC$55="Moderado"),CONCATENATE("R8C",'Mapa final'!$Q$55),"")</f>
        <v/>
      </c>
      <c r="Z23" s="37"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37" t="str">
        <f>IF(AND('Mapa final'!$AA$54="Alta",'Mapa final'!$AC$54="Mayor"),CONCATENATE("R8C",'Mapa final'!$Q$54),"")</f>
        <v/>
      </c>
      <c r="AE23" s="37" t="str">
        <f>IF(AND('Mapa final'!$AA$55="Alta",'Mapa final'!$AC$55="Mayor"),CONCATENATE("R8C",'Mapa final'!$Q$55),"")</f>
        <v/>
      </c>
      <c r="AF23" s="37"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7"/>
      <c r="AO23" s="395"/>
      <c r="AP23" s="396"/>
      <c r="AQ23" s="396"/>
      <c r="AR23" s="396"/>
      <c r="AS23" s="396"/>
      <c r="AT23" s="39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306"/>
      <c r="C24" s="306"/>
      <c r="D24" s="307"/>
      <c r="E24" s="405"/>
      <c r="F24" s="404"/>
      <c r="G24" s="404"/>
      <c r="H24" s="404"/>
      <c r="I24" s="404"/>
      <c r="J24" s="51" t="str">
        <f>IF(AND('Mapa final'!$AA$58="Alta",'Mapa final'!$AC$58="Leve"),CONCATENATE("R9C",'Mapa final'!$Q$58),"")</f>
        <v/>
      </c>
      <c r="K24" s="52" t="str">
        <f>IF(AND('Mapa final'!$AA$59="Alta",'Mapa final'!$AC$59="Leve"),CONCATENATE("R9C",'Mapa final'!$Q$59),"")</f>
        <v/>
      </c>
      <c r="L24" s="52" t="str">
        <f>IF(AND('Mapa final'!$AA$60="Alta",'Mapa final'!$AC$60="Leve"),CONCATENATE("R9C",'Mapa final'!$Q$60),"")</f>
        <v/>
      </c>
      <c r="M24" s="52" t="str">
        <f>IF(AND('Mapa final'!$AA$61="Alta",'Mapa final'!$AC$61="Leve"),CONCATENATE("R9C",'Mapa final'!$Q$61),"")</f>
        <v/>
      </c>
      <c r="N24" s="52" t="str">
        <f>IF(AND('Mapa final'!$AA$62="Alta",'Mapa final'!$AC$62="Leve"),CONCATENATE("R9C",'Mapa final'!$Q$62),"")</f>
        <v/>
      </c>
      <c r="O24" s="53" t="str">
        <f>IF(AND('Mapa final'!$AA$63="Alta",'Mapa final'!$AC$63="Leve"),CONCATENATE("R9C",'Mapa final'!$Q$63),"")</f>
        <v/>
      </c>
      <c r="P24" s="51" t="str">
        <f>IF(AND('Mapa final'!$AA$58="Alta",'Mapa final'!$AC$58="Menor"),CONCATENATE("R9C",'Mapa final'!$Q$58),"")</f>
        <v/>
      </c>
      <c r="Q24" s="52" t="str">
        <f>IF(AND('Mapa final'!$AA$59="Alta",'Mapa final'!$AC$59="Menor"),CONCATENATE("R9C",'Mapa final'!$Q$59),"")</f>
        <v/>
      </c>
      <c r="R24" s="52" t="str">
        <f>IF(AND('Mapa final'!$AA$60="Alta",'Mapa final'!$AC$60="Menor"),CONCATENATE("R9C",'Mapa final'!$Q$60),"")</f>
        <v/>
      </c>
      <c r="S24" s="52" t="str">
        <f>IF(AND('Mapa final'!$AA$61="Alta",'Mapa final'!$AC$61="Menor"),CONCATENATE("R9C",'Mapa final'!$Q$61),"")</f>
        <v/>
      </c>
      <c r="T24" s="52" t="str">
        <f>IF(AND('Mapa final'!$AA$62="Alta",'Mapa final'!$AC$62="Menor"),CONCATENATE("R9C",'Mapa final'!$Q$62),"")</f>
        <v/>
      </c>
      <c r="U24" s="53"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37" t="str">
        <f>IF(AND('Mapa final'!$AA$60="Alta",'Mapa final'!$AC$60="Moderado"),CONCATENATE("R9C",'Mapa final'!$Q$60),"")</f>
        <v/>
      </c>
      <c r="Y24" s="37" t="str">
        <f>IF(AND('Mapa final'!$AA$61="Alta",'Mapa final'!$AC$61="Moderado"),CONCATENATE("R9C",'Mapa final'!$Q$61),"")</f>
        <v/>
      </c>
      <c r="Z24" s="37"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37" t="str">
        <f>IF(AND('Mapa final'!$AA$60="Alta",'Mapa final'!$AC$60="Mayor"),CONCATENATE("R9C",'Mapa final'!$Q$60),"")</f>
        <v/>
      </c>
      <c r="AE24" s="37" t="str">
        <f>IF(AND('Mapa final'!$AA$61="Alta",'Mapa final'!$AC$61="Mayor"),CONCATENATE("R9C",'Mapa final'!$Q$61),"")</f>
        <v/>
      </c>
      <c r="AF24" s="37"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7"/>
      <c r="AO24" s="395"/>
      <c r="AP24" s="396"/>
      <c r="AQ24" s="396"/>
      <c r="AR24" s="396"/>
      <c r="AS24" s="396"/>
      <c r="AT24" s="39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306"/>
      <c r="C25" s="306"/>
      <c r="D25" s="307"/>
      <c r="E25" s="406"/>
      <c r="F25" s="407"/>
      <c r="G25" s="407"/>
      <c r="H25" s="407"/>
      <c r="I25" s="407"/>
      <c r="J25" s="54" t="str">
        <f>IF(AND('Mapa final'!$AA$64="Alta",'Mapa final'!$AC$64="Leve"),CONCATENATE("R10C",'Mapa final'!$Q$64),"")</f>
        <v/>
      </c>
      <c r="K25" s="55" t="str">
        <f>IF(AND('Mapa final'!$AA$65="Alta",'Mapa final'!$AC$65="Leve"),CONCATENATE("R10C",'Mapa final'!$Q$65),"")</f>
        <v/>
      </c>
      <c r="L25" s="55" t="str">
        <f>IF(AND('Mapa final'!$AA$66="Alta",'Mapa final'!$AC$66="Leve"),CONCATENATE("R10C",'Mapa final'!$Q$66),"")</f>
        <v/>
      </c>
      <c r="M25" s="55" t="str">
        <f>IF(AND('Mapa final'!$AA$67="Alta",'Mapa final'!$AC$67="Leve"),CONCATENATE("R10C",'Mapa final'!$Q$67),"")</f>
        <v/>
      </c>
      <c r="N25" s="55" t="str">
        <f>IF(AND('Mapa final'!$AA$68="Alta",'Mapa final'!$AC$68="Leve"),CONCATENATE("R10C",'Mapa final'!$Q$68),"")</f>
        <v/>
      </c>
      <c r="O25" s="56" t="str">
        <f>IF(AND('Mapa final'!$AA$69="Alta",'Mapa final'!$AC$69="Leve"),CONCATENATE("R10C",'Mapa final'!$Q$69),"")</f>
        <v/>
      </c>
      <c r="P25" s="54" t="str">
        <f>IF(AND('Mapa final'!$AA$64="Alta",'Mapa final'!$AC$64="Menor"),CONCATENATE("R10C",'Mapa final'!$Q$64),"")</f>
        <v/>
      </c>
      <c r="Q25" s="55" t="str">
        <f>IF(AND('Mapa final'!$AA$65="Alta",'Mapa final'!$AC$65="Menor"),CONCATENATE("R10C",'Mapa final'!$Q$65),"")</f>
        <v/>
      </c>
      <c r="R25" s="55" t="str">
        <f>IF(AND('Mapa final'!$AA$66="Alta",'Mapa final'!$AC$66="Menor"),CONCATENATE("R10C",'Mapa final'!$Q$66),"")</f>
        <v/>
      </c>
      <c r="S25" s="55" t="str">
        <f>IF(AND('Mapa final'!$AA$67="Alta",'Mapa final'!$AC$67="Menor"),CONCATENATE("R10C",'Mapa final'!$Q$67),"")</f>
        <v/>
      </c>
      <c r="T25" s="55" t="str">
        <f>IF(AND('Mapa final'!$AA$68="Alta",'Mapa final'!$AC$68="Menor"),CONCATENATE("R10C",'Mapa final'!$Q$68),"")</f>
        <v/>
      </c>
      <c r="U25" s="56" t="str">
        <f>IF(AND('Mapa final'!$AA$69="Alta",'Mapa final'!$AC$69="Menor"),CONCATENATE("R10C",'Mapa final'!$Q$69),"")</f>
        <v/>
      </c>
      <c r="V25" s="42" t="str">
        <f>IF(AND('Mapa final'!$AA$64="Alta",'Mapa final'!$AC$64="Moderado"),CONCATENATE("R10C",'Mapa final'!$Q$64),"")</f>
        <v/>
      </c>
      <c r="W25" s="43" t="str">
        <f>IF(AND('Mapa final'!$AA$65="Alta",'Mapa final'!$AC$65="Moderado"),CONCATENATE("R10C",'Mapa final'!$Q$65),"")</f>
        <v/>
      </c>
      <c r="X25" s="43" t="str">
        <f>IF(AND('Mapa final'!$AA$66="Alta",'Mapa final'!$AC$66="Moderado"),CONCATENATE("R10C",'Mapa final'!$Q$66),"")</f>
        <v/>
      </c>
      <c r="Y25" s="43" t="str">
        <f>IF(AND('Mapa final'!$AA$67="Alta",'Mapa final'!$AC$67="Moderado"),CONCATENATE("R10C",'Mapa final'!$Q$67),"")</f>
        <v/>
      </c>
      <c r="Z25" s="43" t="str">
        <f>IF(AND('Mapa final'!$AA$68="Alta",'Mapa final'!$AC$68="Moderado"),CONCATENATE("R10C",'Mapa final'!$Q$68),"")</f>
        <v/>
      </c>
      <c r="AA25" s="44" t="str">
        <f>IF(AND('Mapa final'!$AA$69="Alta",'Mapa final'!$AC$69="Moderado"),CONCATENATE("R10C",'Mapa final'!$Q$69),"")</f>
        <v/>
      </c>
      <c r="AB25" s="42" t="str">
        <f>IF(AND('Mapa final'!$AA$64="Alta",'Mapa final'!$AC$64="Mayor"),CONCATENATE("R10C",'Mapa final'!$Q$64),"")</f>
        <v/>
      </c>
      <c r="AC25" s="43" t="str">
        <f>IF(AND('Mapa final'!$AA$65="Alta",'Mapa final'!$AC$65="Mayor"),CONCATENATE("R10C",'Mapa final'!$Q$65),"")</f>
        <v/>
      </c>
      <c r="AD25" s="43" t="str">
        <f>IF(AND('Mapa final'!$AA$66="Alta",'Mapa final'!$AC$66="Mayor"),CONCATENATE("R10C",'Mapa final'!$Q$66),"")</f>
        <v/>
      </c>
      <c r="AE25" s="43" t="str">
        <f>IF(AND('Mapa final'!$AA$67="Alta",'Mapa final'!$AC$67="Mayor"),CONCATENATE("R10C",'Mapa final'!$Q$67),"")</f>
        <v/>
      </c>
      <c r="AF25" s="43" t="str">
        <f>IF(AND('Mapa final'!$AA$68="Alta",'Mapa final'!$AC$68="Mayor"),CONCATENATE("R10C",'Mapa final'!$Q$68),"")</f>
        <v/>
      </c>
      <c r="AG25" s="44" t="str">
        <f>IF(AND('Mapa final'!$AA$69="Alta",'Mapa final'!$AC$69="Mayor"),CONCATENATE("R10C",'Mapa final'!$Q$69),"")</f>
        <v/>
      </c>
      <c r="AH25" s="45" t="str">
        <f>IF(AND('Mapa final'!$AA$64="Alta",'Mapa final'!$AC$64="Catastrófico"),CONCATENATE("R10C",'Mapa final'!$Q$64),"")</f>
        <v/>
      </c>
      <c r="AI25" s="46" t="str">
        <f>IF(AND('Mapa final'!$AA$65="Alta",'Mapa final'!$AC$65="Catastrófico"),CONCATENATE("R10C",'Mapa final'!$Q$65),"")</f>
        <v/>
      </c>
      <c r="AJ25" s="46" t="str">
        <f>IF(AND('Mapa final'!$AA$66="Alta",'Mapa final'!$AC$66="Catastrófico"),CONCATENATE("R10C",'Mapa final'!$Q$66),"")</f>
        <v/>
      </c>
      <c r="AK25" s="46" t="str">
        <f>IF(AND('Mapa final'!$AA$67="Alta",'Mapa final'!$AC$67="Catastrófico"),CONCATENATE("R10C",'Mapa final'!$Q$67),"")</f>
        <v/>
      </c>
      <c r="AL25" s="46" t="str">
        <f>IF(AND('Mapa final'!$AA$68="Alta",'Mapa final'!$AC$68="Catastrófico"),CONCATENATE("R10C",'Mapa final'!$Q$68),"")</f>
        <v/>
      </c>
      <c r="AM25" s="47" t="str">
        <f>IF(AND('Mapa final'!$AA$69="Alta",'Mapa final'!$AC$69="Catastrófico"),CONCATENATE("R10C",'Mapa final'!$Q$69),"")</f>
        <v/>
      </c>
      <c r="AN25" s="67"/>
      <c r="AO25" s="398"/>
      <c r="AP25" s="399"/>
      <c r="AQ25" s="399"/>
      <c r="AR25" s="399"/>
      <c r="AS25" s="399"/>
      <c r="AT25" s="400"/>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306"/>
      <c r="C26" s="306"/>
      <c r="D26" s="307"/>
      <c r="E26" s="401" t="s">
        <v>111</v>
      </c>
      <c r="F26" s="402"/>
      <c r="G26" s="402"/>
      <c r="H26" s="402"/>
      <c r="I26" s="419"/>
      <c r="J26" s="48" t="str">
        <f ca="1">IF(AND('Mapa final'!$AA$10="Media",'Mapa final'!$AC$10="Leve"),CONCATENATE("R1C",'Mapa final'!$Q$10),"")</f>
        <v/>
      </c>
      <c r="K26" s="49" t="str">
        <f ca="1">IF(AND('Mapa final'!$AA$11="Media",'Mapa final'!$AC$11="Leve"),CONCATENATE("R1C",'Mapa final'!$Q$11),"")</f>
        <v/>
      </c>
      <c r="L26" s="49" t="str">
        <f ca="1">IF(AND('Mapa final'!$AA$12="Media",'Mapa final'!$AC$12="Leve"),CONCATENATE("R1C",'Mapa final'!$Q$12),"")</f>
        <v/>
      </c>
      <c r="M26" s="49" t="str">
        <f ca="1">IF(AND('Mapa final'!$AA$13="Media",'Mapa final'!$AC$13="Leve"),CONCATENATE("R1C",'Mapa final'!$Q$13),"")</f>
        <v/>
      </c>
      <c r="N26" s="49" t="str">
        <f ca="1">IF(AND('Mapa final'!$AA$14="Media",'Mapa final'!$AC$14="Leve"),CONCATENATE("R1C",'Mapa final'!$Q$14),"")</f>
        <v/>
      </c>
      <c r="O26" s="50" t="str">
        <f>IF(AND('Mapa final'!$AA$15="Media",'Mapa final'!$AC$15="Leve"),CONCATENATE("R1C",'Mapa final'!$Q$15),"")</f>
        <v/>
      </c>
      <c r="P26" s="48" t="str">
        <f ca="1">IF(AND('Mapa final'!$AA$10="Media",'Mapa final'!$AC$10="Menor"),CONCATENATE("R1C",'Mapa final'!$Q$10),"")</f>
        <v/>
      </c>
      <c r="Q26" s="49" t="str">
        <f ca="1">IF(AND('Mapa final'!$AA$11="Media",'Mapa final'!$AC$11="Menor"),CONCATENATE("R1C",'Mapa final'!$Q$11),"")</f>
        <v/>
      </c>
      <c r="R26" s="49" t="str">
        <f ca="1">IF(AND('Mapa final'!$AA$12="Media",'Mapa final'!$AC$12="Menor"),CONCATENATE("R1C",'Mapa final'!$Q$12),"")</f>
        <v/>
      </c>
      <c r="S26" s="49" t="str">
        <f ca="1">IF(AND('Mapa final'!$AA$13="Media",'Mapa final'!$AC$13="Menor"),CONCATENATE("R1C",'Mapa final'!$Q$13),"")</f>
        <v/>
      </c>
      <c r="T26" s="49" t="str">
        <f ca="1">IF(AND('Mapa final'!$AA$14="Media",'Mapa final'!$AC$14="Menor"),CONCATENATE("R1C",'Mapa final'!$Q$14),"")</f>
        <v/>
      </c>
      <c r="U26" s="50" t="str">
        <f>IF(AND('Mapa final'!$AA$15="Media",'Mapa final'!$AC$15="Menor"),CONCATENATE("R1C",'Mapa final'!$Q$15),"")</f>
        <v/>
      </c>
      <c r="V26" s="48" t="str">
        <f ca="1">IF(AND('Mapa final'!$AA$10="Media",'Mapa final'!$AC$10="Moderado"),CONCATENATE("R1C",'Mapa final'!$Q$10),"")</f>
        <v/>
      </c>
      <c r="W26" s="49" t="str">
        <f ca="1">IF(AND('Mapa final'!$AA$11="Media",'Mapa final'!$AC$11="Moderado"),CONCATENATE("R1C",'Mapa final'!$Q$11),"")</f>
        <v/>
      </c>
      <c r="X26" s="49" t="str">
        <f ca="1">IF(AND('Mapa final'!$AA$12="Media",'Mapa final'!$AC$12="Moderado"),CONCATENATE("R1C",'Mapa final'!$Q$12),"")</f>
        <v/>
      </c>
      <c r="Y26" s="49" t="str">
        <f ca="1">IF(AND('Mapa final'!$AA$13="Media",'Mapa final'!$AC$13="Moderado"),CONCATENATE("R1C",'Mapa final'!$Q$13),"")</f>
        <v/>
      </c>
      <c r="Z26" s="49" t="str">
        <f ca="1">IF(AND('Mapa final'!$AA$14="Media",'Mapa final'!$AC$14="Moderado"),CONCATENATE("R1C",'Mapa final'!$Q$14),"")</f>
        <v/>
      </c>
      <c r="AA26" s="50" t="str">
        <f>IF(AND('Mapa final'!$AA$15="Media",'Mapa final'!$AC$15="Moderado"),CONCATENATE("R1C",'Mapa final'!$Q$15),"")</f>
        <v/>
      </c>
      <c r="AB26" s="30" t="str">
        <f ca="1">IF(AND('Mapa final'!$AA$10="Media",'Mapa final'!$AC$10="Mayor"),CONCATENATE("R1C",'Mapa final'!$Q$10),"")</f>
        <v/>
      </c>
      <c r="AC26" s="31" t="str">
        <f ca="1">IF(AND('Mapa final'!$AA$11="Media",'Mapa final'!$AC$11="Mayor"),CONCATENATE("R1C",'Mapa final'!$Q$11),"")</f>
        <v/>
      </c>
      <c r="AD26" s="31" t="str">
        <f ca="1">IF(AND('Mapa final'!$AA$12="Media",'Mapa final'!$AC$12="Mayor"),CONCATENATE("R1C",'Mapa final'!$Q$12),"")</f>
        <v/>
      </c>
      <c r="AE26" s="31" t="str">
        <f ca="1">IF(AND('Mapa final'!$AA$13="Media",'Mapa final'!$AC$13="Mayor"),CONCATENATE("R1C",'Mapa final'!$Q$13),"")</f>
        <v/>
      </c>
      <c r="AF26" s="31" t="str">
        <f ca="1">IF(AND('Mapa final'!$AA$14="Media",'Mapa final'!$AC$14="Mayor"),CONCATENATE("R1C",'Mapa final'!$Q$14),"")</f>
        <v/>
      </c>
      <c r="AG26" s="32" t="str">
        <f>IF(AND('Mapa final'!$AA$15="Media",'Mapa final'!$AC$15="Mayor"),CONCATENATE("R1C",'Mapa final'!$Q$15),"")</f>
        <v/>
      </c>
      <c r="AH26" s="33" t="str">
        <f ca="1">IF(AND('Mapa final'!$AA$10="Media",'Mapa final'!$AC$10="Catastrófico"),CONCATENATE("R1C",'Mapa final'!$Q$10),"")</f>
        <v/>
      </c>
      <c r="AI26" s="34" t="str">
        <f ca="1">IF(AND('Mapa final'!$AA$11="Media",'Mapa final'!$AC$11="Catastrófico"),CONCATENATE("R1C",'Mapa final'!$Q$11),"")</f>
        <v/>
      </c>
      <c r="AJ26" s="34" t="str">
        <f ca="1">IF(AND('Mapa final'!$AA$12="Media",'Mapa final'!$AC$12="Catastrófico"),CONCATENATE("R1C",'Mapa final'!$Q$12),"")</f>
        <v/>
      </c>
      <c r="AK26" s="34" t="str">
        <f ca="1">IF(AND('Mapa final'!$AA$13="Media",'Mapa final'!$AC$13="Catastrófico"),CONCATENATE("R1C",'Mapa final'!$Q$13),"")</f>
        <v/>
      </c>
      <c r="AL26" s="34" t="str">
        <f ca="1">IF(AND('Mapa final'!$AA$14="Media",'Mapa final'!$AC$14="Catastrófico"),CONCATENATE("R1C",'Mapa final'!$Q$14),"")</f>
        <v/>
      </c>
      <c r="AM26" s="35" t="str">
        <f>IF(AND('Mapa final'!$AA$15="Media",'Mapa final'!$AC$15="Catastrófico"),CONCATENATE("R1C",'Mapa final'!$Q$15),"")</f>
        <v/>
      </c>
      <c r="AN26" s="67"/>
      <c r="AO26" s="431" t="s">
        <v>79</v>
      </c>
      <c r="AP26" s="432"/>
      <c r="AQ26" s="432"/>
      <c r="AR26" s="432"/>
      <c r="AS26" s="432"/>
      <c r="AT26" s="433"/>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306"/>
      <c r="C27" s="306"/>
      <c r="D27" s="307"/>
      <c r="E27" s="403"/>
      <c r="F27" s="404"/>
      <c r="G27" s="404"/>
      <c r="H27" s="404"/>
      <c r="I27" s="420"/>
      <c r="J27" s="51" t="str">
        <f>IF(AND('Mapa final'!$AA$16="Media",'Mapa final'!$AC$16="Leve"),CONCATENATE("R2C",'Mapa final'!$Q$16),"")</f>
        <v/>
      </c>
      <c r="K27" s="52" t="str">
        <f>IF(AND('Mapa final'!$AA$17="Media",'Mapa final'!$AC$17="Leve"),CONCATENATE("R2C",'Mapa final'!$Q$17),"")</f>
        <v/>
      </c>
      <c r="L27" s="52" t="str">
        <f>IF(AND('Mapa final'!$AA$18="Media",'Mapa final'!$AC$18="Leve"),CONCATENATE("R2C",'Mapa final'!$Q$18),"")</f>
        <v/>
      </c>
      <c r="M27" s="52" t="str">
        <f>IF(AND('Mapa final'!$AA$19="Media",'Mapa final'!$AC$19="Leve"),CONCATENATE("R2C",'Mapa final'!$Q$19),"")</f>
        <v/>
      </c>
      <c r="N27" s="52" t="str">
        <f>IF(AND('Mapa final'!$AA$20="Media",'Mapa final'!$AC$20="Leve"),CONCATENATE("R2C",'Mapa final'!$Q$20),"")</f>
        <v/>
      </c>
      <c r="O27" s="53" t="str">
        <f>IF(AND('Mapa final'!$AA$21="Media",'Mapa final'!$AC$21="Leve"),CONCATENATE("R2C",'Mapa final'!$Q$21),"")</f>
        <v/>
      </c>
      <c r="P27" s="51" t="str">
        <f>IF(AND('Mapa final'!$AA$16="Media",'Mapa final'!$AC$16="Menor"),CONCATENATE("R2C",'Mapa final'!$Q$16),"")</f>
        <v/>
      </c>
      <c r="Q27" s="52" t="str">
        <f>IF(AND('Mapa final'!$AA$17="Media",'Mapa final'!$AC$17="Menor"),CONCATENATE("R2C",'Mapa final'!$Q$17),"")</f>
        <v/>
      </c>
      <c r="R27" s="52" t="str">
        <f>IF(AND('Mapa final'!$AA$18="Media",'Mapa final'!$AC$18="Menor"),CONCATENATE("R2C",'Mapa final'!$Q$18),"")</f>
        <v/>
      </c>
      <c r="S27" s="52" t="str">
        <f>IF(AND('Mapa final'!$AA$19="Media",'Mapa final'!$AC$19="Menor"),CONCATENATE("R2C",'Mapa final'!$Q$19),"")</f>
        <v/>
      </c>
      <c r="T27" s="52" t="str">
        <f>IF(AND('Mapa final'!$AA$20="Media",'Mapa final'!$AC$20="Menor"),CONCATENATE("R2C",'Mapa final'!$Q$20),"")</f>
        <v/>
      </c>
      <c r="U27" s="53" t="str">
        <f>IF(AND('Mapa final'!$AA$21="Media",'Mapa final'!$AC$21="Menor"),CONCATENATE("R2C",'Mapa final'!$Q$21),"")</f>
        <v/>
      </c>
      <c r="V27" s="51" t="str">
        <f>IF(AND('Mapa final'!$AA$16="Media",'Mapa final'!$AC$16="Moderado"),CONCATENATE("R2C",'Mapa final'!$Q$16),"")</f>
        <v/>
      </c>
      <c r="W27" s="52" t="str">
        <f>IF(AND('Mapa final'!$AA$17="Media",'Mapa final'!$AC$17="Moderado"),CONCATENATE("R2C",'Mapa final'!$Q$17),"")</f>
        <v/>
      </c>
      <c r="X27" s="52" t="str">
        <f>IF(AND('Mapa final'!$AA$18="Media",'Mapa final'!$AC$18="Moderado"),CONCATENATE("R2C",'Mapa final'!$Q$18),"")</f>
        <v/>
      </c>
      <c r="Y27" s="52" t="str">
        <f>IF(AND('Mapa final'!$AA$19="Media",'Mapa final'!$AC$19="Moderado"),CONCATENATE("R2C",'Mapa final'!$Q$19),"")</f>
        <v/>
      </c>
      <c r="Z27" s="52" t="str">
        <f>IF(AND('Mapa final'!$AA$20="Media",'Mapa final'!$AC$20="Moderado"),CONCATENATE("R2C",'Mapa final'!$Q$20),"")</f>
        <v/>
      </c>
      <c r="AA27" s="53" t="str">
        <f>IF(AND('Mapa final'!$AA$21="Media",'Mapa final'!$AC$21="Moderado"),CONCATENATE("R2C",'Mapa final'!$Q$21),"")</f>
        <v/>
      </c>
      <c r="AB27" s="36" t="str">
        <f>IF(AND('Mapa final'!$AA$16="Media",'Mapa final'!$AC$16="Mayor"),CONCATENATE("R2C",'Mapa final'!$Q$16),"")</f>
        <v/>
      </c>
      <c r="AC27" s="37" t="str">
        <f>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IF(AND('Mapa final'!$AA$16="Media",'Mapa final'!$AC$16="Catastrófico"),CONCATENATE("R2C",'Mapa final'!$Q$16),"")</f>
        <v/>
      </c>
      <c r="AI27" s="40" t="str">
        <f>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7"/>
      <c r="AO27" s="434"/>
      <c r="AP27" s="435"/>
      <c r="AQ27" s="435"/>
      <c r="AR27" s="435"/>
      <c r="AS27" s="435"/>
      <c r="AT27" s="436"/>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306"/>
      <c r="C28" s="306"/>
      <c r="D28" s="307"/>
      <c r="E28" s="405"/>
      <c r="F28" s="404"/>
      <c r="G28" s="404"/>
      <c r="H28" s="404"/>
      <c r="I28" s="420"/>
      <c r="J28" s="51" t="str">
        <f>IF(AND('Mapa final'!$AA$22="Media",'Mapa final'!$AC$22="Leve"),CONCATENATE("R3C",'Mapa final'!$Q$22),"")</f>
        <v/>
      </c>
      <c r="K28" s="52" t="str">
        <f>IF(AND('Mapa final'!$AA$23="Media",'Mapa final'!$AC$23="Leve"),CONCATENATE("R3C",'Mapa final'!$Q$23),"")</f>
        <v/>
      </c>
      <c r="L28" s="52" t="str">
        <f>IF(AND('Mapa final'!$AA$24="Media",'Mapa final'!$AC$24="Leve"),CONCATENATE("R3C",'Mapa final'!$Q$24),"")</f>
        <v/>
      </c>
      <c r="M28" s="52" t="str">
        <f>IF(AND('Mapa final'!$AA$25="Media",'Mapa final'!$AC$25="Leve"),CONCATENATE("R3C",'Mapa final'!$Q$25),"")</f>
        <v/>
      </c>
      <c r="N28" s="52" t="str">
        <f>IF(AND('Mapa final'!$AA$26="Media",'Mapa final'!$AC$26="Leve"),CONCATENATE("R3C",'Mapa final'!$Q$26),"")</f>
        <v/>
      </c>
      <c r="O28" s="53" t="str">
        <f>IF(AND('Mapa final'!$AA$27="Media",'Mapa final'!$AC$27="Leve"),CONCATENATE("R3C",'Mapa final'!$Q$27),"")</f>
        <v/>
      </c>
      <c r="P28" s="51" t="str">
        <f>IF(AND('Mapa final'!$AA$22="Media",'Mapa final'!$AC$22="Menor"),CONCATENATE("R3C",'Mapa final'!$Q$22),"")</f>
        <v/>
      </c>
      <c r="Q28" s="52" t="str">
        <f>IF(AND('Mapa final'!$AA$23="Media",'Mapa final'!$AC$23="Menor"),CONCATENATE("R3C",'Mapa final'!$Q$23),"")</f>
        <v/>
      </c>
      <c r="R28" s="52" t="str">
        <f>IF(AND('Mapa final'!$AA$24="Media",'Mapa final'!$AC$24="Menor"),CONCATENATE("R3C",'Mapa final'!$Q$24),"")</f>
        <v/>
      </c>
      <c r="S28" s="52" t="str">
        <f>IF(AND('Mapa final'!$AA$25="Media",'Mapa final'!$AC$25="Menor"),CONCATENATE("R3C",'Mapa final'!$Q$25),"")</f>
        <v/>
      </c>
      <c r="T28" s="52" t="str">
        <f>IF(AND('Mapa final'!$AA$26="Media",'Mapa final'!$AC$26="Menor"),CONCATENATE("R3C",'Mapa final'!$Q$26),"")</f>
        <v/>
      </c>
      <c r="U28" s="53" t="str">
        <f>IF(AND('Mapa final'!$AA$27="Media",'Mapa final'!$AC$27="Menor"),CONCATENATE("R3C",'Mapa final'!$Q$27),"")</f>
        <v/>
      </c>
      <c r="V28" s="51" t="str">
        <f>IF(AND('Mapa final'!$AA$22="Media",'Mapa final'!$AC$22="Moderado"),CONCATENATE("R3C",'Mapa final'!$Q$22),"")</f>
        <v/>
      </c>
      <c r="W28" s="52" t="str">
        <f>IF(AND('Mapa final'!$AA$23="Media",'Mapa final'!$AC$23="Moderado"),CONCATENATE("R3C",'Mapa final'!$Q$23),"")</f>
        <v/>
      </c>
      <c r="X28" s="52" t="str">
        <f>IF(AND('Mapa final'!$AA$24="Media",'Mapa final'!$AC$24="Moderado"),CONCATENATE("R3C",'Mapa final'!$Q$24),"")</f>
        <v/>
      </c>
      <c r="Y28" s="52" t="str">
        <f>IF(AND('Mapa final'!$AA$25="Media",'Mapa final'!$AC$25="Moderado"),CONCATENATE("R3C",'Mapa final'!$Q$25),"")</f>
        <v/>
      </c>
      <c r="Z28" s="52" t="str">
        <f>IF(AND('Mapa final'!$AA$26="Media",'Mapa final'!$AC$26="Moderado"),CONCATENATE("R3C",'Mapa final'!$Q$26),"")</f>
        <v/>
      </c>
      <c r="AA28" s="53" t="str">
        <f>IF(AND('Mapa final'!$AA$27="Media",'Mapa final'!$AC$27="Moderado"),CONCATENATE("R3C",'Mapa final'!$Q$27),"")</f>
        <v/>
      </c>
      <c r="AB28" s="36" t="str">
        <f>IF(AND('Mapa final'!$AA$22="Media",'Mapa final'!$AC$22="Mayor"),CONCATENATE("R3C",'Mapa final'!$Q$22),"")</f>
        <v/>
      </c>
      <c r="AC28" s="37" t="str">
        <f>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IF(AND('Mapa final'!$AA$22="Media",'Mapa final'!$AC$22="Catastrófico"),CONCATENATE("R3C",'Mapa final'!$Q$22),"")</f>
        <v/>
      </c>
      <c r="AI28" s="40" t="str">
        <f>IF(AND('Mapa final'!$AA$23="Media",'Mapa final'!$AC$23="Catastrófico"),CONCATENATE("R3C",'Mapa final'!$Q$23),"")</f>
        <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7"/>
      <c r="AO28" s="434"/>
      <c r="AP28" s="435"/>
      <c r="AQ28" s="435"/>
      <c r="AR28" s="435"/>
      <c r="AS28" s="435"/>
      <c r="AT28" s="436"/>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306"/>
      <c r="C29" s="306"/>
      <c r="D29" s="307"/>
      <c r="E29" s="405"/>
      <c r="F29" s="404"/>
      <c r="G29" s="404"/>
      <c r="H29" s="404"/>
      <c r="I29" s="420"/>
      <c r="J29" s="51" t="str">
        <f>IF(AND('Mapa final'!$AA$28="Media",'Mapa final'!$AC$28="Leve"),CONCATENATE("R4C",'Mapa final'!$Q$28),"")</f>
        <v/>
      </c>
      <c r="K29" s="52" t="str">
        <f>IF(AND('Mapa final'!$AA$29="Media",'Mapa final'!$AC$29="Leve"),CONCATENATE("R4C",'Mapa final'!$Q$29),"")</f>
        <v/>
      </c>
      <c r="L29" s="52" t="str">
        <f>IF(AND('Mapa final'!$AA$30="Media",'Mapa final'!$AC$30="Leve"),CONCATENATE("R4C",'Mapa final'!$Q$30),"")</f>
        <v/>
      </c>
      <c r="M29" s="52" t="str">
        <f>IF(AND('Mapa final'!$AA$31="Media",'Mapa final'!$AC$31="Leve"),CONCATENATE("R4C",'Mapa final'!$Q$31),"")</f>
        <v/>
      </c>
      <c r="N29" s="52" t="str">
        <f>IF(AND('Mapa final'!$AA$32="Media",'Mapa final'!$AC$32="Leve"),CONCATENATE("R4C",'Mapa final'!$Q$32),"")</f>
        <v/>
      </c>
      <c r="O29" s="53" t="str">
        <f>IF(AND('Mapa final'!$AA$33="Media",'Mapa final'!$AC$33="Leve"),CONCATENATE("R4C",'Mapa final'!$Q$33),"")</f>
        <v/>
      </c>
      <c r="P29" s="51" t="str">
        <f>IF(AND('Mapa final'!$AA$28="Media",'Mapa final'!$AC$28="Menor"),CONCATENATE("R4C",'Mapa final'!$Q$28),"")</f>
        <v/>
      </c>
      <c r="Q29" s="52" t="str">
        <f>IF(AND('Mapa final'!$AA$29="Media",'Mapa final'!$AC$29="Menor"),CONCATENATE("R4C",'Mapa final'!$Q$29),"")</f>
        <v/>
      </c>
      <c r="R29" s="52" t="str">
        <f>IF(AND('Mapa final'!$AA$30="Media",'Mapa final'!$AC$30="Menor"),CONCATENATE("R4C",'Mapa final'!$Q$30),"")</f>
        <v/>
      </c>
      <c r="S29" s="52" t="str">
        <f>IF(AND('Mapa final'!$AA$31="Media",'Mapa final'!$AC$31="Menor"),CONCATENATE("R4C",'Mapa final'!$Q$31),"")</f>
        <v/>
      </c>
      <c r="T29" s="52" t="str">
        <f>IF(AND('Mapa final'!$AA$32="Media",'Mapa final'!$AC$32="Menor"),CONCATENATE("R4C",'Mapa final'!$Q$32),"")</f>
        <v/>
      </c>
      <c r="U29" s="53" t="str">
        <f>IF(AND('Mapa final'!$AA$33="Media",'Mapa final'!$AC$33="Menor"),CONCATENATE("R4C",'Mapa final'!$Q$33),"")</f>
        <v/>
      </c>
      <c r="V29" s="51" t="str">
        <f>IF(AND('Mapa final'!$AA$28="Media",'Mapa final'!$AC$28="Moderado"),CONCATENATE("R4C",'Mapa final'!$Q$28),"")</f>
        <v/>
      </c>
      <c r="W29" s="52" t="str">
        <f>IF(AND('Mapa final'!$AA$29="Media",'Mapa final'!$AC$29="Moderado"),CONCATENATE("R4C",'Mapa final'!$Q$29),"")</f>
        <v/>
      </c>
      <c r="X29" s="52" t="str">
        <f>IF(AND('Mapa final'!$AA$30="Media",'Mapa final'!$AC$30="Moderado"),CONCATENATE("R4C",'Mapa final'!$Q$30),"")</f>
        <v/>
      </c>
      <c r="Y29" s="52" t="str">
        <f>IF(AND('Mapa final'!$AA$31="Media",'Mapa final'!$AC$31="Moderado"),CONCATENATE("R4C",'Mapa final'!$Q$31),"")</f>
        <v/>
      </c>
      <c r="Z29" s="52" t="str">
        <f>IF(AND('Mapa final'!$AA$32="Media",'Mapa final'!$AC$32="Moderado"),CONCATENATE("R4C",'Mapa final'!$Q$32),"")</f>
        <v/>
      </c>
      <c r="AA29" s="53"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37" t="str">
        <f>IF(AND('Mapa final'!$AA$30="Media",'Mapa final'!$AC$30="Mayor"),CONCATENATE("R4C",'Mapa final'!$Q$30),"")</f>
        <v/>
      </c>
      <c r="AE29" s="37" t="str">
        <f>IF(AND('Mapa final'!$AA$31="Media",'Mapa final'!$AC$31="Mayor"),CONCATENATE("R4C",'Mapa final'!$Q$31),"")</f>
        <v/>
      </c>
      <c r="AF29" s="37"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7"/>
      <c r="AO29" s="434"/>
      <c r="AP29" s="435"/>
      <c r="AQ29" s="435"/>
      <c r="AR29" s="435"/>
      <c r="AS29" s="435"/>
      <c r="AT29" s="436"/>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306"/>
      <c r="C30" s="306"/>
      <c r="D30" s="307"/>
      <c r="E30" s="405"/>
      <c r="F30" s="404"/>
      <c r="G30" s="404"/>
      <c r="H30" s="404"/>
      <c r="I30" s="420"/>
      <c r="J30" s="51" t="str">
        <f>IF(AND('Mapa final'!$AA$34="Media",'Mapa final'!$AC$34="Leve"),CONCATENATE("R5C",'Mapa final'!$Q$34),"")</f>
        <v/>
      </c>
      <c r="K30" s="52" t="str">
        <f>IF(AND('Mapa final'!$AA$35="Media",'Mapa final'!$AC$35="Leve"),CONCATENATE("R5C",'Mapa final'!$Q$35),"")</f>
        <v/>
      </c>
      <c r="L30" s="52" t="str">
        <f>IF(AND('Mapa final'!$AA$36="Media",'Mapa final'!$AC$36="Leve"),CONCATENATE("R5C",'Mapa final'!$Q$36),"")</f>
        <v/>
      </c>
      <c r="M30" s="52" t="str">
        <f>IF(AND('Mapa final'!$AA$37="Media",'Mapa final'!$AC$37="Leve"),CONCATENATE("R5C",'Mapa final'!$Q$37),"")</f>
        <v/>
      </c>
      <c r="N30" s="52" t="str">
        <f>IF(AND('Mapa final'!$AA$38="Media",'Mapa final'!$AC$38="Leve"),CONCATENATE("R5C",'Mapa final'!$Q$38),"")</f>
        <v/>
      </c>
      <c r="O30" s="53" t="str">
        <f>IF(AND('Mapa final'!$AA$39="Media",'Mapa final'!$AC$39="Leve"),CONCATENATE("R5C",'Mapa final'!$Q$39),"")</f>
        <v/>
      </c>
      <c r="P30" s="51" t="str">
        <f>IF(AND('Mapa final'!$AA$34="Media",'Mapa final'!$AC$34="Menor"),CONCATENATE("R5C",'Mapa final'!$Q$34),"")</f>
        <v/>
      </c>
      <c r="Q30" s="52" t="str">
        <f>IF(AND('Mapa final'!$AA$35="Media",'Mapa final'!$AC$35="Menor"),CONCATENATE("R5C",'Mapa final'!$Q$35),"")</f>
        <v/>
      </c>
      <c r="R30" s="52" t="str">
        <f>IF(AND('Mapa final'!$AA$36="Media",'Mapa final'!$AC$36="Menor"),CONCATENATE("R5C",'Mapa final'!$Q$36),"")</f>
        <v/>
      </c>
      <c r="S30" s="52" t="str">
        <f>IF(AND('Mapa final'!$AA$37="Media",'Mapa final'!$AC$37="Menor"),CONCATENATE("R5C",'Mapa final'!$Q$37),"")</f>
        <v/>
      </c>
      <c r="T30" s="52" t="str">
        <f>IF(AND('Mapa final'!$AA$38="Media",'Mapa final'!$AC$38="Menor"),CONCATENATE("R5C",'Mapa final'!$Q$38),"")</f>
        <v/>
      </c>
      <c r="U30" s="53" t="str">
        <f>IF(AND('Mapa final'!$AA$39="Media",'Mapa final'!$AC$39="Menor"),CONCATENATE("R5C",'Mapa final'!$Q$39),"")</f>
        <v/>
      </c>
      <c r="V30" s="51" t="str">
        <f>IF(AND('Mapa final'!$AA$34="Media",'Mapa final'!$AC$34="Moderado"),CONCATENATE("R5C",'Mapa final'!$Q$34),"")</f>
        <v/>
      </c>
      <c r="W30" s="52" t="str">
        <f>IF(AND('Mapa final'!$AA$35="Media",'Mapa final'!$AC$35="Moderado"),CONCATENATE("R5C",'Mapa final'!$Q$35),"")</f>
        <v/>
      </c>
      <c r="X30" s="52" t="str">
        <f>IF(AND('Mapa final'!$AA$36="Media",'Mapa final'!$AC$36="Moderado"),CONCATENATE("R5C",'Mapa final'!$Q$36),"")</f>
        <v/>
      </c>
      <c r="Y30" s="52" t="str">
        <f>IF(AND('Mapa final'!$AA$37="Media",'Mapa final'!$AC$37="Moderado"),CONCATENATE("R5C",'Mapa final'!$Q$37),"")</f>
        <v/>
      </c>
      <c r="Z30" s="52" t="str">
        <f>IF(AND('Mapa final'!$AA$38="Media",'Mapa final'!$AC$38="Moderado"),CONCATENATE("R5C",'Mapa final'!$Q$38),"")</f>
        <v/>
      </c>
      <c r="AA30" s="53"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37" t="str">
        <f>IF(AND('Mapa final'!$AA$36="Media",'Mapa final'!$AC$36="Mayor"),CONCATENATE("R5C",'Mapa final'!$Q$36),"")</f>
        <v/>
      </c>
      <c r="AE30" s="37" t="str">
        <f>IF(AND('Mapa final'!$AA$37="Media",'Mapa final'!$AC$37="Mayor"),CONCATENATE("R5C",'Mapa final'!$Q$37),"")</f>
        <v/>
      </c>
      <c r="AF30" s="37"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7"/>
      <c r="AO30" s="434"/>
      <c r="AP30" s="435"/>
      <c r="AQ30" s="435"/>
      <c r="AR30" s="435"/>
      <c r="AS30" s="435"/>
      <c r="AT30" s="436"/>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306"/>
      <c r="C31" s="306"/>
      <c r="D31" s="307"/>
      <c r="E31" s="405"/>
      <c r="F31" s="404"/>
      <c r="G31" s="404"/>
      <c r="H31" s="404"/>
      <c r="I31" s="420"/>
      <c r="J31" s="51" t="str">
        <f>IF(AND('Mapa final'!$AA$40="Media",'Mapa final'!$AC$40="Leve"),CONCATENATE("R6C",'Mapa final'!$Q$40),"")</f>
        <v/>
      </c>
      <c r="K31" s="52" t="str">
        <f>IF(AND('Mapa final'!$AA$41="Media",'Mapa final'!$AC$41="Leve"),CONCATENATE("R6C",'Mapa final'!$Q$41),"")</f>
        <v/>
      </c>
      <c r="L31" s="52" t="str">
        <f>IF(AND('Mapa final'!$AA$42="Media",'Mapa final'!$AC$42="Leve"),CONCATENATE("R6C",'Mapa final'!$Q$42),"")</f>
        <v/>
      </c>
      <c r="M31" s="52" t="str">
        <f>IF(AND('Mapa final'!$AA$43="Media",'Mapa final'!$AC$43="Leve"),CONCATENATE("R6C",'Mapa final'!$Q$43),"")</f>
        <v/>
      </c>
      <c r="N31" s="52" t="str">
        <f>IF(AND('Mapa final'!$AA$44="Media",'Mapa final'!$AC$44="Leve"),CONCATENATE("R6C",'Mapa final'!$Q$44),"")</f>
        <v/>
      </c>
      <c r="O31" s="53" t="str">
        <f>IF(AND('Mapa final'!$AA$45="Media",'Mapa final'!$AC$45="Leve"),CONCATENATE("R6C",'Mapa final'!$Q$45),"")</f>
        <v/>
      </c>
      <c r="P31" s="51" t="str">
        <f>IF(AND('Mapa final'!$AA$40="Media",'Mapa final'!$AC$40="Menor"),CONCATENATE("R6C",'Mapa final'!$Q$40),"")</f>
        <v/>
      </c>
      <c r="Q31" s="52" t="str">
        <f>IF(AND('Mapa final'!$AA$41="Media",'Mapa final'!$AC$41="Menor"),CONCATENATE("R6C",'Mapa final'!$Q$41),"")</f>
        <v/>
      </c>
      <c r="R31" s="52" t="str">
        <f>IF(AND('Mapa final'!$AA$42="Media",'Mapa final'!$AC$42="Menor"),CONCATENATE("R6C",'Mapa final'!$Q$42),"")</f>
        <v/>
      </c>
      <c r="S31" s="52" t="str">
        <f>IF(AND('Mapa final'!$AA$43="Media",'Mapa final'!$AC$43="Menor"),CONCATENATE("R6C",'Mapa final'!$Q$43),"")</f>
        <v/>
      </c>
      <c r="T31" s="52" t="str">
        <f>IF(AND('Mapa final'!$AA$44="Media",'Mapa final'!$AC$44="Menor"),CONCATENATE("R6C",'Mapa final'!$Q$44),"")</f>
        <v/>
      </c>
      <c r="U31" s="53" t="str">
        <f>IF(AND('Mapa final'!$AA$45="Media",'Mapa final'!$AC$45="Menor"),CONCATENATE("R6C",'Mapa final'!$Q$45),"")</f>
        <v/>
      </c>
      <c r="V31" s="51" t="str">
        <f>IF(AND('Mapa final'!$AA$40="Media",'Mapa final'!$AC$40="Moderado"),CONCATENATE("R6C",'Mapa final'!$Q$40),"")</f>
        <v/>
      </c>
      <c r="W31" s="52" t="str">
        <f>IF(AND('Mapa final'!$AA$41="Media",'Mapa final'!$AC$41="Moderado"),CONCATENATE("R6C",'Mapa final'!$Q$41),"")</f>
        <v/>
      </c>
      <c r="X31" s="52" t="str">
        <f>IF(AND('Mapa final'!$AA$42="Media",'Mapa final'!$AC$42="Moderado"),CONCATENATE("R6C",'Mapa final'!$Q$42),"")</f>
        <v/>
      </c>
      <c r="Y31" s="52" t="str">
        <f>IF(AND('Mapa final'!$AA$43="Media",'Mapa final'!$AC$43="Moderado"),CONCATENATE("R6C",'Mapa final'!$Q$43),"")</f>
        <v/>
      </c>
      <c r="Z31" s="52" t="str">
        <f>IF(AND('Mapa final'!$AA$44="Media",'Mapa final'!$AC$44="Moderado"),CONCATENATE("R6C",'Mapa final'!$Q$44),"")</f>
        <v/>
      </c>
      <c r="AA31" s="53"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37" t="str">
        <f>IF(AND('Mapa final'!$AA$42="Media",'Mapa final'!$AC$42="Mayor"),CONCATENATE("R6C",'Mapa final'!$Q$42),"")</f>
        <v/>
      </c>
      <c r="AE31" s="37" t="str">
        <f>IF(AND('Mapa final'!$AA$43="Media",'Mapa final'!$AC$43="Mayor"),CONCATENATE("R6C",'Mapa final'!$Q$43),"")</f>
        <v/>
      </c>
      <c r="AF31" s="37"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7"/>
      <c r="AO31" s="434"/>
      <c r="AP31" s="435"/>
      <c r="AQ31" s="435"/>
      <c r="AR31" s="435"/>
      <c r="AS31" s="435"/>
      <c r="AT31" s="436"/>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306"/>
      <c r="C32" s="306"/>
      <c r="D32" s="307"/>
      <c r="E32" s="405"/>
      <c r="F32" s="404"/>
      <c r="G32" s="404"/>
      <c r="H32" s="404"/>
      <c r="I32" s="420"/>
      <c r="J32" s="51" t="str">
        <f>IF(AND('Mapa final'!$AA$46="Media",'Mapa final'!$AC$46="Leve"),CONCATENATE("R7C",'Mapa final'!$Q$46),"")</f>
        <v/>
      </c>
      <c r="K32" s="52" t="str">
        <f>IF(AND('Mapa final'!$AA$47="Media",'Mapa final'!$AC$47="Leve"),CONCATENATE("R7C",'Mapa final'!$Q$47),"")</f>
        <v/>
      </c>
      <c r="L32" s="52" t="str">
        <f>IF(AND('Mapa final'!$AA$48="Media",'Mapa final'!$AC$48="Leve"),CONCATENATE("R7C",'Mapa final'!$Q$48),"")</f>
        <v/>
      </c>
      <c r="M32" s="52" t="str">
        <f>IF(AND('Mapa final'!$AA$49="Media",'Mapa final'!$AC$49="Leve"),CONCATENATE("R7C",'Mapa final'!$Q$49),"")</f>
        <v/>
      </c>
      <c r="N32" s="52" t="str">
        <f>IF(AND('Mapa final'!$AA$50="Media",'Mapa final'!$AC$50="Leve"),CONCATENATE("R7C",'Mapa final'!$Q$50),"")</f>
        <v/>
      </c>
      <c r="O32" s="53" t="str">
        <f>IF(AND('Mapa final'!$AA$51="Media",'Mapa final'!$AC$51="Leve"),CONCATENATE("R7C",'Mapa final'!$Q$51),"")</f>
        <v/>
      </c>
      <c r="P32" s="51" t="str">
        <f>IF(AND('Mapa final'!$AA$46="Media",'Mapa final'!$AC$46="Menor"),CONCATENATE("R7C",'Mapa final'!$Q$46),"")</f>
        <v/>
      </c>
      <c r="Q32" s="52" t="str">
        <f>IF(AND('Mapa final'!$AA$47="Media",'Mapa final'!$AC$47="Menor"),CONCATENATE("R7C",'Mapa final'!$Q$47),"")</f>
        <v/>
      </c>
      <c r="R32" s="52" t="str">
        <f>IF(AND('Mapa final'!$AA$48="Media",'Mapa final'!$AC$48="Menor"),CONCATENATE("R7C",'Mapa final'!$Q$48),"")</f>
        <v/>
      </c>
      <c r="S32" s="52" t="str">
        <f>IF(AND('Mapa final'!$AA$49="Media",'Mapa final'!$AC$49="Menor"),CONCATENATE("R7C",'Mapa final'!$Q$49),"")</f>
        <v/>
      </c>
      <c r="T32" s="52" t="str">
        <f>IF(AND('Mapa final'!$AA$50="Media",'Mapa final'!$AC$50="Menor"),CONCATENATE("R7C",'Mapa final'!$Q$50),"")</f>
        <v/>
      </c>
      <c r="U32" s="53" t="str">
        <f>IF(AND('Mapa final'!$AA$51="Media",'Mapa final'!$AC$51="Menor"),CONCATENATE("R7C",'Mapa final'!$Q$51),"")</f>
        <v/>
      </c>
      <c r="V32" s="51" t="str">
        <f>IF(AND('Mapa final'!$AA$46="Media",'Mapa final'!$AC$46="Moderado"),CONCATENATE("R7C",'Mapa final'!$Q$46),"")</f>
        <v/>
      </c>
      <c r="W32" s="52" t="str">
        <f>IF(AND('Mapa final'!$AA$47="Media",'Mapa final'!$AC$47="Moderado"),CONCATENATE("R7C",'Mapa final'!$Q$47),"")</f>
        <v/>
      </c>
      <c r="X32" s="52" t="str">
        <f>IF(AND('Mapa final'!$AA$48="Media",'Mapa final'!$AC$48="Moderado"),CONCATENATE("R7C",'Mapa final'!$Q$48),"")</f>
        <v/>
      </c>
      <c r="Y32" s="52" t="str">
        <f>IF(AND('Mapa final'!$AA$49="Media",'Mapa final'!$AC$49="Moderado"),CONCATENATE("R7C",'Mapa final'!$Q$49),"")</f>
        <v/>
      </c>
      <c r="Z32" s="52" t="str">
        <f>IF(AND('Mapa final'!$AA$50="Media",'Mapa final'!$AC$50="Moderado"),CONCATENATE("R7C",'Mapa final'!$Q$50),"")</f>
        <v/>
      </c>
      <c r="AA32" s="53"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37" t="str">
        <f>IF(AND('Mapa final'!$AA$48="Media",'Mapa final'!$AC$48="Mayor"),CONCATENATE("R7C",'Mapa final'!$Q$48),"")</f>
        <v/>
      </c>
      <c r="AE32" s="37" t="str">
        <f>IF(AND('Mapa final'!$AA$49="Media",'Mapa final'!$AC$49="Mayor"),CONCATENATE("R7C",'Mapa final'!$Q$49),"")</f>
        <v/>
      </c>
      <c r="AF32" s="37"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7"/>
      <c r="AO32" s="434"/>
      <c r="AP32" s="435"/>
      <c r="AQ32" s="435"/>
      <c r="AR32" s="435"/>
      <c r="AS32" s="435"/>
      <c r="AT32" s="436"/>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306"/>
      <c r="C33" s="306"/>
      <c r="D33" s="307"/>
      <c r="E33" s="405"/>
      <c r="F33" s="404"/>
      <c r="G33" s="404"/>
      <c r="H33" s="404"/>
      <c r="I33" s="420"/>
      <c r="J33" s="51" t="str">
        <f>IF(AND('Mapa final'!$AA$52="Media",'Mapa final'!$AC$52="Leve"),CONCATENATE("R8C",'Mapa final'!$Q$52),"")</f>
        <v/>
      </c>
      <c r="K33" s="52" t="str">
        <f>IF(AND('Mapa final'!$AA$53="Media",'Mapa final'!$AC$53="Leve"),CONCATENATE("R8C",'Mapa final'!$Q$53),"")</f>
        <v/>
      </c>
      <c r="L33" s="52" t="str">
        <f>IF(AND('Mapa final'!$AA$54="Media",'Mapa final'!$AC$54="Leve"),CONCATENATE("R8C",'Mapa final'!$Q$54),"")</f>
        <v/>
      </c>
      <c r="M33" s="52" t="str">
        <f>IF(AND('Mapa final'!$AA$55="Media",'Mapa final'!$AC$55="Leve"),CONCATENATE("R8C",'Mapa final'!$Q$55),"")</f>
        <v/>
      </c>
      <c r="N33" s="52" t="str">
        <f>IF(AND('Mapa final'!$AA$56="Media",'Mapa final'!$AC$56="Leve"),CONCATENATE("R8C",'Mapa final'!$Q$56),"")</f>
        <v/>
      </c>
      <c r="O33" s="53" t="str">
        <f>IF(AND('Mapa final'!$AA$57="Media",'Mapa final'!$AC$57="Leve"),CONCATENATE("R8C",'Mapa final'!$Q$57),"")</f>
        <v/>
      </c>
      <c r="P33" s="51" t="str">
        <f>IF(AND('Mapa final'!$AA$52="Media",'Mapa final'!$AC$52="Menor"),CONCATENATE("R8C",'Mapa final'!$Q$52),"")</f>
        <v/>
      </c>
      <c r="Q33" s="52" t="str">
        <f>IF(AND('Mapa final'!$AA$53="Media",'Mapa final'!$AC$53="Menor"),CONCATENATE("R8C",'Mapa final'!$Q$53),"")</f>
        <v/>
      </c>
      <c r="R33" s="52" t="str">
        <f>IF(AND('Mapa final'!$AA$54="Media",'Mapa final'!$AC$54="Menor"),CONCATENATE("R8C",'Mapa final'!$Q$54),"")</f>
        <v/>
      </c>
      <c r="S33" s="52" t="str">
        <f>IF(AND('Mapa final'!$AA$55="Media",'Mapa final'!$AC$55="Menor"),CONCATENATE("R8C",'Mapa final'!$Q$55),"")</f>
        <v/>
      </c>
      <c r="T33" s="52" t="str">
        <f>IF(AND('Mapa final'!$AA$56="Media",'Mapa final'!$AC$56="Menor"),CONCATENATE("R8C",'Mapa final'!$Q$56),"")</f>
        <v/>
      </c>
      <c r="U33" s="53" t="str">
        <f>IF(AND('Mapa final'!$AA$57="Media",'Mapa final'!$AC$57="Menor"),CONCATENATE("R8C",'Mapa final'!$Q$57),"")</f>
        <v/>
      </c>
      <c r="V33" s="51" t="str">
        <f>IF(AND('Mapa final'!$AA$52="Media",'Mapa final'!$AC$52="Moderado"),CONCATENATE("R8C",'Mapa final'!$Q$52),"")</f>
        <v/>
      </c>
      <c r="W33" s="52" t="str">
        <f>IF(AND('Mapa final'!$AA$53="Media",'Mapa final'!$AC$53="Moderado"),CONCATENATE("R8C",'Mapa final'!$Q$53),"")</f>
        <v/>
      </c>
      <c r="X33" s="52" t="str">
        <f>IF(AND('Mapa final'!$AA$54="Media",'Mapa final'!$AC$54="Moderado"),CONCATENATE("R8C",'Mapa final'!$Q$54),"")</f>
        <v/>
      </c>
      <c r="Y33" s="52" t="str">
        <f>IF(AND('Mapa final'!$AA$55="Media",'Mapa final'!$AC$55="Moderado"),CONCATENATE("R8C",'Mapa final'!$Q$55),"")</f>
        <v/>
      </c>
      <c r="Z33" s="52" t="str">
        <f>IF(AND('Mapa final'!$AA$56="Media",'Mapa final'!$AC$56="Moderado"),CONCATENATE("R8C",'Mapa final'!$Q$56),"")</f>
        <v/>
      </c>
      <c r="AA33" s="53"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37" t="str">
        <f>IF(AND('Mapa final'!$AA$54="Media",'Mapa final'!$AC$54="Mayor"),CONCATENATE("R8C",'Mapa final'!$Q$54),"")</f>
        <v/>
      </c>
      <c r="AE33" s="37" t="str">
        <f>IF(AND('Mapa final'!$AA$55="Media",'Mapa final'!$AC$55="Mayor"),CONCATENATE("R8C",'Mapa final'!$Q$55),"")</f>
        <v/>
      </c>
      <c r="AF33" s="37"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7"/>
      <c r="AO33" s="434"/>
      <c r="AP33" s="435"/>
      <c r="AQ33" s="435"/>
      <c r="AR33" s="435"/>
      <c r="AS33" s="435"/>
      <c r="AT33" s="436"/>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306"/>
      <c r="C34" s="306"/>
      <c r="D34" s="307"/>
      <c r="E34" s="405"/>
      <c r="F34" s="404"/>
      <c r="G34" s="404"/>
      <c r="H34" s="404"/>
      <c r="I34" s="420"/>
      <c r="J34" s="51" t="str">
        <f>IF(AND('Mapa final'!$AA$58="Media",'Mapa final'!$AC$58="Leve"),CONCATENATE("R9C",'Mapa final'!$Q$58),"")</f>
        <v/>
      </c>
      <c r="K34" s="52" t="str">
        <f>IF(AND('Mapa final'!$AA$59="Media",'Mapa final'!$AC$59="Leve"),CONCATENATE("R9C",'Mapa final'!$Q$59),"")</f>
        <v/>
      </c>
      <c r="L34" s="52" t="str">
        <f>IF(AND('Mapa final'!$AA$60="Media",'Mapa final'!$AC$60="Leve"),CONCATENATE("R9C",'Mapa final'!$Q$60),"")</f>
        <v/>
      </c>
      <c r="M34" s="52" t="str">
        <f>IF(AND('Mapa final'!$AA$61="Media",'Mapa final'!$AC$61="Leve"),CONCATENATE("R9C",'Mapa final'!$Q$61),"")</f>
        <v/>
      </c>
      <c r="N34" s="52" t="str">
        <f>IF(AND('Mapa final'!$AA$62="Media",'Mapa final'!$AC$62="Leve"),CONCATENATE("R9C",'Mapa final'!$Q$62),"")</f>
        <v/>
      </c>
      <c r="O34" s="53" t="str">
        <f>IF(AND('Mapa final'!$AA$63="Media",'Mapa final'!$AC$63="Leve"),CONCATENATE("R9C",'Mapa final'!$Q$63),"")</f>
        <v/>
      </c>
      <c r="P34" s="51" t="str">
        <f>IF(AND('Mapa final'!$AA$58="Media",'Mapa final'!$AC$58="Menor"),CONCATENATE("R9C",'Mapa final'!$Q$58),"")</f>
        <v/>
      </c>
      <c r="Q34" s="52" t="str">
        <f>IF(AND('Mapa final'!$AA$59="Media",'Mapa final'!$AC$59="Menor"),CONCATENATE("R9C",'Mapa final'!$Q$59),"")</f>
        <v/>
      </c>
      <c r="R34" s="52" t="str">
        <f>IF(AND('Mapa final'!$AA$60="Media",'Mapa final'!$AC$60="Menor"),CONCATENATE("R9C",'Mapa final'!$Q$60),"")</f>
        <v/>
      </c>
      <c r="S34" s="52" t="str">
        <f>IF(AND('Mapa final'!$AA$61="Media",'Mapa final'!$AC$61="Menor"),CONCATENATE("R9C",'Mapa final'!$Q$61),"")</f>
        <v/>
      </c>
      <c r="T34" s="52" t="str">
        <f>IF(AND('Mapa final'!$AA$62="Media",'Mapa final'!$AC$62="Menor"),CONCATENATE("R9C",'Mapa final'!$Q$62),"")</f>
        <v/>
      </c>
      <c r="U34" s="53" t="str">
        <f>IF(AND('Mapa final'!$AA$63="Media",'Mapa final'!$AC$63="Menor"),CONCATENATE("R9C",'Mapa final'!$Q$63),"")</f>
        <v/>
      </c>
      <c r="V34" s="51" t="str">
        <f>IF(AND('Mapa final'!$AA$58="Media",'Mapa final'!$AC$58="Moderado"),CONCATENATE("R9C",'Mapa final'!$Q$58),"")</f>
        <v/>
      </c>
      <c r="W34" s="52" t="str">
        <f>IF(AND('Mapa final'!$AA$59="Media",'Mapa final'!$AC$59="Moderado"),CONCATENATE("R9C",'Mapa final'!$Q$59),"")</f>
        <v/>
      </c>
      <c r="X34" s="52" t="str">
        <f>IF(AND('Mapa final'!$AA$60="Media",'Mapa final'!$AC$60="Moderado"),CONCATENATE("R9C",'Mapa final'!$Q$60),"")</f>
        <v/>
      </c>
      <c r="Y34" s="52" t="str">
        <f>IF(AND('Mapa final'!$AA$61="Media",'Mapa final'!$AC$61="Moderado"),CONCATENATE("R9C",'Mapa final'!$Q$61),"")</f>
        <v/>
      </c>
      <c r="Z34" s="52" t="str">
        <f>IF(AND('Mapa final'!$AA$62="Media",'Mapa final'!$AC$62="Moderado"),CONCATENATE("R9C",'Mapa final'!$Q$62),"")</f>
        <v/>
      </c>
      <c r="AA34" s="53"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37" t="str">
        <f>IF(AND('Mapa final'!$AA$60="Media",'Mapa final'!$AC$60="Mayor"),CONCATENATE("R9C",'Mapa final'!$Q$60),"")</f>
        <v/>
      </c>
      <c r="AE34" s="37" t="str">
        <f>IF(AND('Mapa final'!$AA$61="Media",'Mapa final'!$AC$61="Mayor"),CONCATENATE("R9C",'Mapa final'!$Q$61),"")</f>
        <v/>
      </c>
      <c r="AF34" s="37"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7"/>
      <c r="AO34" s="434"/>
      <c r="AP34" s="435"/>
      <c r="AQ34" s="435"/>
      <c r="AR34" s="435"/>
      <c r="AS34" s="435"/>
      <c r="AT34" s="436"/>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306"/>
      <c r="C35" s="306"/>
      <c r="D35" s="307"/>
      <c r="E35" s="406"/>
      <c r="F35" s="407"/>
      <c r="G35" s="407"/>
      <c r="H35" s="407"/>
      <c r="I35" s="421"/>
      <c r="J35" s="51" t="str">
        <f>IF(AND('Mapa final'!$AA$64="Media",'Mapa final'!$AC$64="Leve"),CONCATENATE("R10C",'Mapa final'!$Q$64),"")</f>
        <v/>
      </c>
      <c r="K35" s="52" t="str">
        <f>IF(AND('Mapa final'!$AA$65="Media",'Mapa final'!$AC$65="Leve"),CONCATENATE("R10C",'Mapa final'!$Q$65),"")</f>
        <v/>
      </c>
      <c r="L35" s="52" t="str">
        <f>IF(AND('Mapa final'!$AA$66="Media",'Mapa final'!$AC$66="Leve"),CONCATENATE("R10C",'Mapa final'!$Q$66),"")</f>
        <v/>
      </c>
      <c r="M35" s="52" t="str">
        <f>IF(AND('Mapa final'!$AA$67="Media",'Mapa final'!$AC$67="Leve"),CONCATENATE("R10C",'Mapa final'!$Q$67),"")</f>
        <v/>
      </c>
      <c r="N35" s="52" t="str">
        <f>IF(AND('Mapa final'!$AA$68="Media",'Mapa final'!$AC$68="Leve"),CONCATENATE("R10C",'Mapa final'!$Q$68),"")</f>
        <v/>
      </c>
      <c r="O35" s="53" t="str">
        <f>IF(AND('Mapa final'!$AA$69="Media",'Mapa final'!$AC$69="Leve"),CONCATENATE("R10C",'Mapa final'!$Q$69),"")</f>
        <v/>
      </c>
      <c r="P35" s="51" t="str">
        <f>IF(AND('Mapa final'!$AA$64="Media",'Mapa final'!$AC$64="Menor"),CONCATENATE("R10C",'Mapa final'!$Q$64),"")</f>
        <v/>
      </c>
      <c r="Q35" s="52" t="str">
        <f>IF(AND('Mapa final'!$AA$65="Media",'Mapa final'!$AC$65="Menor"),CONCATENATE("R10C",'Mapa final'!$Q$65),"")</f>
        <v/>
      </c>
      <c r="R35" s="52" t="str">
        <f>IF(AND('Mapa final'!$AA$66="Media",'Mapa final'!$AC$66="Menor"),CONCATENATE("R10C",'Mapa final'!$Q$66),"")</f>
        <v/>
      </c>
      <c r="S35" s="52" t="str">
        <f>IF(AND('Mapa final'!$AA$67="Media",'Mapa final'!$AC$67="Menor"),CONCATENATE("R10C",'Mapa final'!$Q$67),"")</f>
        <v/>
      </c>
      <c r="T35" s="52" t="str">
        <f>IF(AND('Mapa final'!$AA$68="Media",'Mapa final'!$AC$68="Menor"),CONCATENATE("R10C",'Mapa final'!$Q$68),"")</f>
        <v/>
      </c>
      <c r="U35" s="53" t="str">
        <f>IF(AND('Mapa final'!$AA$69="Media",'Mapa final'!$AC$69="Menor"),CONCATENATE("R10C",'Mapa final'!$Q$69),"")</f>
        <v/>
      </c>
      <c r="V35" s="51" t="str">
        <f>IF(AND('Mapa final'!$AA$64="Media",'Mapa final'!$AC$64="Moderado"),CONCATENATE("R10C",'Mapa final'!$Q$64),"")</f>
        <v/>
      </c>
      <c r="W35" s="52" t="str">
        <f>IF(AND('Mapa final'!$AA$65="Media",'Mapa final'!$AC$65="Moderado"),CONCATENATE("R10C",'Mapa final'!$Q$65),"")</f>
        <v/>
      </c>
      <c r="X35" s="52" t="str">
        <f>IF(AND('Mapa final'!$AA$66="Media",'Mapa final'!$AC$66="Moderado"),CONCATENATE("R10C",'Mapa final'!$Q$66),"")</f>
        <v/>
      </c>
      <c r="Y35" s="52" t="str">
        <f>IF(AND('Mapa final'!$AA$67="Media",'Mapa final'!$AC$67="Moderado"),CONCATENATE("R10C",'Mapa final'!$Q$67),"")</f>
        <v/>
      </c>
      <c r="Z35" s="52" t="str">
        <f>IF(AND('Mapa final'!$AA$68="Media",'Mapa final'!$AC$68="Moderado"),CONCATENATE("R10C",'Mapa final'!$Q$68),"")</f>
        <v/>
      </c>
      <c r="AA35" s="53" t="str">
        <f>IF(AND('Mapa final'!$AA$69="Media",'Mapa final'!$AC$69="Moderado"),CONCATENATE("R10C",'Mapa final'!$Q$69),"")</f>
        <v/>
      </c>
      <c r="AB35" s="42" t="str">
        <f>IF(AND('Mapa final'!$AA$64="Media",'Mapa final'!$AC$64="Mayor"),CONCATENATE("R10C",'Mapa final'!$Q$64),"")</f>
        <v/>
      </c>
      <c r="AC35" s="43" t="str">
        <f>IF(AND('Mapa final'!$AA$65="Media",'Mapa final'!$AC$65="Mayor"),CONCATENATE("R10C",'Mapa final'!$Q$65),"")</f>
        <v/>
      </c>
      <c r="AD35" s="43" t="str">
        <f>IF(AND('Mapa final'!$AA$66="Media",'Mapa final'!$AC$66="Mayor"),CONCATENATE("R10C",'Mapa final'!$Q$66),"")</f>
        <v/>
      </c>
      <c r="AE35" s="43" t="str">
        <f>IF(AND('Mapa final'!$AA$67="Media",'Mapa final'!$AC$67="Mayor"),CONCATENATE("R10C",'Mapa final'!$Q$67),"")</f>
        <v/>
      </c>
      <c r="AF35" s="43" t="str">
        <f>IF(AND('Mapa final'!$AA$68="Media",'Mapa final'!$AC$68="Mayor"),CONCATENATE("R10C",'Mapa final'!$Q$68),"")</f>
        <v/>
      </c>
      <c r="AG35" s="44" t="str">
        <f>IF(AND('Mapa final'!$AA$69="Media",'Mapa final'!$AC$69="Mayor"),CONCATENATE("R10C",'Mapa final'!$Q$69),"")</f>
        <v/>
      </c>
      <c r="AH35" s="45" t="str">
        <f>IF(AND('Mapa final'!$AA$64="Media",'Mapa final'!$AC$64="Catastrófico"),CONCATENATE("R10C",'Mapa final'!$Q$64),"")</f>
        <v/>
      </c>
      <c r="AI35" s="46" t="str">
        <f>IF(AND('Mapa final'!$AA$65="Media",'Mapa final'!$AC$65="Catastrófico"),CONCATENATE("R10C",'Mapa final'!$Q$65),"")</f>
        <v/>
      </c>
      <c r="AJ35" s="46" t="str">
        <f>IF(AND('Mapa final'!$AA$66="Media",'Mapa final'!$AC$66="Catastrófico"),CONCATENATE("R10C",'Mapa final'!$Q$66),"")</f>
        <v/>
      </c>
      <c r="AK35" s="46" t="str">
        <f>IF(AND('Mapa final'!$AA$67="Media",'Mapa final'!$AC$67="Catastrófico"),CONCATENATE("R10C",'Mapa final'!$Q$67),"")</f>
        <v/>
      </c>
      <c r="AL35" s="46" t="str">
        <f>IF(AND('Mapa final'!$AA$68="Media",'Mapa final'!$AC$68="Catastrófico"),CONCATENATE("R10C",'Mapa final'!$Q$68),"")</f>
        <v/>
      </c>
      <c r="AM35" s="47" t="str">
        <f>IF(AND('Mapa final'!$AA$69="Media",'Mapa final'!$AC$69="Catastrófico"),CONCATENATE("R10C",'Mapa final'!$Q$69),"")</f>
        <v/>
      </c>
      <c r="AN35" s="67"/>
      <c r="AO35" s="437"/>
      <c r="AP35" s="438"/>
      <c r="AQ35" s="438"/>
      <c r="AR35" s="438"/>
      <c r="AS35" s="438"/>
      <c r="AT35" s="439"/>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306"/>
      <c r="C36" s="306"/>
      <c r="D36" s="307"/>
      <c r="E36" s="401" t="s">
        <v>108</v>
      </c>
      <c r="F36" s="402"/>
      <c r="G36" s="402"/>
      <c r="H36" s="402"/>
      <c r="I36" s="402"/>
      <c r="J36" s="57" t="str">
        <f ca="1">IF(AND('Mapa final'!$AA$10="Baja",'Mapa final'!$AC$10="Leve"),CONCATENATE("R1C",'Mapa final'!$Q$10),"")</f>
        <v/>
      </c>
      <c r="K36" s="58" t="str">
        <f ca="1">IF(AND('Mapa final'!$AA$11="Baja",'Mapa final'!$AC$11="Leve"),CONCATENATE("R1C",'Mapa final'!$Q$11),"")</f>
        <v/>
      </c>
      <c r="L36" s="58" t="str">
        <f ca="1">IF(AND('Mapa final'!$AA$12="Baja",'Mapa final'!$AC$12="Leve"),CONCATENATE("R1C",'Mapa final'!$Q$12),"")</f>
        <v/>
      </c>
      <c r="M36" s="58" t="str">
        <f ca="1">IF(AND('Mapa final'!$AA$13="Baja",'Mapa final'!$AC$13="Leve"),CONCATENATE("R1C",'Mapa final'!$Q$13),"")</f>
        <v/>
      </c>
      <c r="N36" s="58" t="str">
        <f ca="1">IF(AND('Mapa final'!$AA$14="Baja",'Mapa final'!$AC$14="Leve"),CONCATENATE("R1C",'Mapa final'!$Q$14),"")</f>
        <v/>
      </c>
      <c r="O36" s="59" t="str">
        <f>IF(AND('Mapa final'!$AA$15="Baja",'Mapa final'!$AC$15="Leve"),CONCATENATE("R1C",'Mapa final'!$Q$15),"")</f>
        <v/>
      </c>
      <c r="P36" s="48" t="str">
        <f ca="1">IF(AND('Mapa final'!$AA$10="Baja",'Mapa final'!$AC$10="Menor"),CONCATENATE("R1C",'Mapa final'!$Q$10),"")</f>
        <v/>
      </c>
      <c r="Q36" s="49" t="str">
        <f ca="1">IF(AND('Mapa final'!$AA$11="Baja",'Mapa final'!$AC$11="Menor"),CONCATENATE("R1C",'Mapa final'!$Q$11),"")</f>
        <v/>
      </c>
      <c r="R36" s="49" t="str">
        <f ca="1">IF(AND('Mapa final'!$AA$12="Baja",'Mapa final'!$AC$12="Menor"),CONCATENATE("R1C",'Mapa final'!$Q$12),"")</f>
        <v/>
      </c>
      <c r="S36" s="49" t="str">
        <f ca="1">IF(AND('Mapa final'!$AA$13="Baja",'Mapa final'!$AC$13="Menor"),CONCATENATE("R1C",'Mapa final'!$Q$13),"")</f>
        <v/>
      </c>
      <c r="T36" s="49" t="str">
        <f ca="1">IF(AND('Mapa final'!$AA$14="Baja",'Mapa final'!$AC$14="Menor"),CONCATENATE("R1C",'Mapa final'!$Q$14),"")</f>
        <v/>
      </c>
      <c r="U36" s="50" t="str">
        <f>IF(AND('Mapa final'!$AA$15="Baja",'Mapa final'!$AC$15="Menor"),CONCATENATE("R1C",'Mapa final'!$Q$15),"")</f>
        <v/>
      </c>
      <c r="V36" s="48" t="str">
        <f ca="1">IF(AND('Mapa final'!$AA$10="Baja",'Mapa final'!$AC$10="Moderado"),CONCATENATE("R1C",'Mapa final'!$Q$10),"")</f>
        <v/>
      </c>
      <c r="W36" s="49" t="str">
        <f ca="1">IF(AND('Mapa final'!$AA$11="Baja",'Mapa final'!$AC$11="Moderado"),CONCATENATE("R1C",'Mapa final'!$Q$11),"")</f>
        <v/>
      </c>
      <c r="X36" s="49" t="str">
        <f ca="1">IF(AND('Mapa final'!$AA$12="Baja",'Mapa final'!$AC$12="Moderado"),CONCATENATE("R1C",'Mapa final'!$Q$12),"")</f>
        <v/>
      </c>
      <c r="Y36" s="49" t="str">
        <f ca="1">IF(AND('Mapa final'!$AA$13="Baja",'Mapa final'!$AC$13="Moderado"),CONCATENATE("R1C",'Mapa final'!$Q$13),"")</f>
        <v>R1C4</v>
      </c>
      <c r="Z36" s="49" t="str">
        <f ca="1">IF(AND('Mapa final'!$AA$14="Baja",'Mapa final'!$AC$14="Moderado"),CONCATENATE("R1C",'Mapa final'!$Q$14),"")</f>
        <v/>
      </c>
      <c r="AA36" s="50" t="str">
        <f>IF(AND('Mapa final'!$AA$15="Baja",'Mapa final'!$AC$15="Moderado"),CONCATENATE("R1C",'Mapa final'!$Q$15),"")</f>
        <v/>
      </c>
      <c r="AB36" s="30" t="str">
        <f ca="1">IF(AND('Mapa final'!$AA$10="Baja",'Mapa final'!$AC$10="Mayor"),CONCATENATE("R1C",'Mapa final'!$Q$10),"")</f>
        <v/>
      </c>
      <c r="AC36" s="31" t="str">
        <f ca="1">IF(AND('Mapa final'!$AA$11="Baja",'Mapa final'!$AC$11="Mayor"),CONCATENATE("R1C",'Mapa final'!$Q$11),"")</f>
        <v/>
      </c>
      <c r="AD36" s="31" t="str">
        <f ca="1">IF(AND('Mapa final'!$AA$12="Baja",'Mapa final'!$AC$12="Mayor"),CONCATENATE("R1C",'Mapa final'!$Q$12),"")</f>
        <v>R1C3</v>
      </c>
      <c r="AE36" s="31" t="str">
        <f ca="1">IF(AND('Mapa final'!$AA$13="Baja",'Mapa final'!$AC$13="Mayor"),CONCATENATE("R1C",'Mapa final'!$Q$13),"")</f>
        <v/>
      </c>
      <c r="AF36" s="31" t="str">
        <f ca="1">IF(AND('Mapa final'!$AA$14="Baja",'Mapa final'!$AC$14="Mayor"),CONCATENATE("R1C",'Mapa final'!$Q$14),"")</f>
        <v/>
      </c>
      <c r="AG36" s="32" t="str">
        <f>IF(AND('Mapa final'!$AA$15="Baja",'Mapa final'!$AC$15="Mayor"),CONCATENATE("R1C",'Mapa final'!$Q$15),"")</f>
        <v/>
      </c>
      <c r="AH36" s="33" t="str">
        <f ca="1">IF(AND('Mapa final'!$AA$10="Baja",'Mapa final'!$AC$10="Catastrófico"),CONCATENATE("R1C",'Mapa final'!$Q$10),"")</f>
        <v>R1C1</v>
      </c>
      <c r="AI36" s="34" t="str">
        <f ca="1">IF(AND('Mapa final'!$AA$11="Baja",'Mapa final'!$AC$11="Catastrófico"),CONCATENATE("R1C",'Mapa final'!$Q$11),"")</f>
        <v>R1C2</v>
      </c>
      <c r="AJ36" s="34" t="str">
        <f ca="1">IF(AND('Mapa final'!$AA$12="Baja",'Mapa final'!$AC$12="Catastrófico"),CONCATENATE("R1C",'Mapa final'!$Q$12),"")</f>
        <v/>
      </c>
      <c r="AK36" s="34" t="str">
        <f ca="1">IF(AND('Mapa final'!$AA$13="Baja",'Mapa final'!$AC$13="Catastrófico"),CONCATENATE("R1C",'Mapa final'!$Q$13),"")</f>
        <v/>
      </c>
      <c r="AL36" s="34" t="str">
        <f ca="1">IF(AND('Mapa final'!$AA$14="Baja",'Mapa final'!$AC$14="Catastrófico"),CONCATENATE("R1C",'Mapa final'!$Q$14),"")</f>
        <v/>
      </c>
      <c r="AM36" s="35" t="str">
        <f>IF(AND('Mapa final'!$AA$15="Baja",'Mapa final'!$AC$15="Catastrófico"),CONCATENATE("R1C",'Mapa final'!$Q$15),"")</f>
        <v/>
      </c>
      <c r="AN36" s="67"/>
      <c r="AO36" s="422" t="s">
        <v>80</v>
      </c>
      <c r="AP36" s="423"/>
      <c r="AQ36" s="423"/>
      <c r="AR36" s="423"/>
      <c r="AS36" s="423"/>
      <c r="AT36" s="424"/>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306"/>
      <c r="C37" s="306"/>
      <c r="D37" s="307"/>
      <c r="E37" s="403"/>
      <c r="F37" s="404"/>
      <c r="G37" s="404"/>
      <c r="H37" s="404"/>
      <c r="I37" s="404"/>
      <c r="J37" s="60" t="str">
        <f>IF(AND('Mapa final'!$AA$16="Baja",'Mapa final'!$AC$16="Leve"),CONCATENATE("R2C",'Mapa final'!$Q$16),"")</f>
        <v/>
      </c>
      <c r="K37" s="61" t="str">
        <f>IF(AND('Mapa final'!$AA$17="Baja",'Mapa final'!$AC$17="Leve"),CONCATENATE("R2C",'Mapa final'!$Q$17),"")</f>
        <v/>
      </c>
      <c r="L37" s="61" t="str">
        <f>IF(AND('Mapa final'!$AA$18="Baja",'Mapa final'!$AC$18="Leve"),CONCATENATE("R2C",'Mapa final'!$Q$18),"")</f>
        <v/>
      </c>
      <c r="M37" s="61" t="str">
        <f>IF(AND('Mapa final'!$AA$19="Baja",'Mapa final'!$AC$19="Leve"),CONCATENATE("R2C",'Mapa final'!$Q$19),"")</f>
        <v/>
      </c>
      <c r="N37" s="61" t="str">
        <f>IF(AND('Mapa final'!$AA$20="Baja",'Mapa final'!$AC$20="Leve"),CONCATENATE("R2C",'Mapa final'!$Q$20),"")</f>
        <v/>
      </c>
      <c r="O37" s="62" t="str">
        <f>IF(AND('Mapa final'!$AA$21="Baja",'Mapa final'!$AC$21="Leve"),CONCATENATE("R2C",'Mapa final'!$Q$21),"")</f>
        <v/>
      </c>
      <c r="P37" s="51" t="str">
        <f>IF(AND('Mapa final'!$AA$16="Baja",'Mapa final'!$AC$16="Menor"),CONCATENATE("R2C",'Mapa final'!$Q$16),"")</f>
        <v/>
      </c>
      <c r="Q37" s="52" t="str">
        <f>IF(AND('Mapa final'!$AA$17="Baja",'Mapa final'!$AC$17="Menor"),CONCATENATE("R2C",'Mapa final'!$Q$17),"")</f>
        <v/>
      </c>
      <c r="R37" s="52" t="str">
        <f>IF(AND('Mapa final'!$AA$18="Baja",'Mapa final'!$AC$18="Menor"),CONCATENATE("R2C",'Mapa final'!$Q$18),"")</f>
        <v/>
      </c>
      <c r="S37" s="52" t="str">
        <f>IF(AND('Mapa final'!$AA$19="Baja",'Mapa final'!$AC$19="Menor"),CONCATENATE("R2C",'Mapa final'!$Q$19),"")</f>
        <v/>
      </c>
      <c r="T37" s="52" t="str">
        <f>IF(AND('Mapa final'!$AA$20="Baja",'Mapa final'!$AC$20="Menor"),CONCATENATE("R2C",'Mapa final'!$Q$20),"")</f>
        <v/>
      </c>
      <c r="U37" s="53" t="str">
        <f>IF(AND('Mapa final'!$AA$21="Baja",'Mapa final'!$AC$21="Menor"),CONCATENATE("R2C",'Mapa final'!$Q$21),"")</f>
        <v/>
      </c>
      <c r="V37" s="51" t="str">
        <f>IF(AND('Mapa final'!$AA$16="Baja",'Mapa final'!$AC$16="Moderado"),CONCATENATE("R2C",'Mapa final'!$Q$16),"")</f>
        <v/>
      </c>
      <c r="W37" s="52" t="str">
        <f>IF(AND('Mapa final'!$AA$17="Baja",'Mapa final'!$AC$17="Moderado"),CONCATENATE("R2C",'Mapa final'!$Q$17),"")</f>
        <v/>
      </c>
      <c r="X37" s="52" t="str">
        <f>IF(AND('Mapa final'!$AA$18="Baja",'Mapa final'!$AC$18="Moderado"),CONCATENATE("R2C",'Mapa final'!$Q$18),"")</f>
        <v/>
      </c>
      <c r="Y37" s="52" t="str">
        <f>IF(AND('Mapa final'!$AA$19="Baja",'Mapa final'!$AC$19="Moderado"),CONCATENATE("R2C",'Mapa final'!$Q$19),"")</f>
        <v/>
      </c>
      <c r="Z37" s="52" t="str">
        <f>IF(AND('Mapa final'!$AA$20="Baja",'Mapa final'!$AC$20="Moderado"),CONCATENATE("R2C",'Mapa final'!$Q$20),"")</f>
        <v/>
      </c>
      <c r="AA37" s="53" t="str">
        <f>IF(AND('Mapa final'!$AA$21="Baja",'Mapa final'!$AC$21="Moderado"),CONCATENATE("R2C",'Mapa final'!$Q$21),"")</f>
        <v/>
      </c>
      <c r="AB37" s="36" t="str">
        <f>IF(AND('Mapa final'!$AA$16="Baja",'Mapa final'!$AC$16="Mayor"),CONCATENATE("R2C",'Mapa final'!$Q$16),"")</f>
        <v/>
      </c>
      <c r="AC37" s="37" t="str">
        <f>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IF(AND('Mapa final'!$AA$16="Baja",'Mapa final'!$AC$16="Catastrófico"),CONCATENATE("R2C",'Mapa final'!$Q$16),"")</f>
        <v/>
      </c>
      <c r="AI37" s="40" t="str">
        <f>IF(AND('Mapa final'!$AA$17="Baja",'Mapa final'!$AC$17="Catastrófico"),CONCATENATE("R2C",'Mapa final'!$Q$17),"")</f>
        <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7"/>
      <c r="AO37" s="425"/>
      <c r="AP37" s="426"/>
      <c r="AQ37" s="426"/>
      <c r="AR37" s="426"/>
      <c r="AS37" s="426"/>
      <c r="AT37" s="42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306"/>
      <c r="C38" s="306"/>
      <c r="D38" s="307"/>
      <c r="E38" s="405"/>
      <c r="F38" s="404"/>
      <c r="G38" s="404"/>
      <c r="H38" s="404"/>
      <c r="I38" s="404"/>
      <c r="J38" s="60" t="str">
        <f>IF(AND('Mapa final'!$AA$22="Baja",'Mapa final'!$AC$22="Leve"),CONCATENATE("R3C",'Mapa final'!$Q$22),"")</f>
        <v/>
      </c>
      <c r="K38" s="61" t="str">
        <f>IF(AND('Mapa final'!$AA$23="Baja",'Mapa final'!$AC$23="Leve"),CONCATENATE("R3C",'Mapa final'!$Q$23),"")</f>
        <v/>
      </c>
      <c r="L38" s="61" t="str">
        <f>IF(AND('Mapa final'!$AA$24="Baja",'Mapa final'!$AC$24="Leve"),CONCATENATE("R3C",'Mapa final'!$Q$24),"")</f>
        <v/>
      </c>
      <c r="M38" s="61" t="str">
        <f>IF(AND('Mapa final'!$AA$25="Baja",'Mapa final'!$AC$25="Leve"),CONCATENATE("R3C",'Mapa final'!$Q$25),"")</f>
        <v/>
      </c>
      <c r="N38" s="61" t="str">
        <f>IF(AND('Mapa final'!$AA$26="Baja",'Mapa final'!$AC$26="Leve"),CONCATENATE("R3C",'Mapa final'!$Q$26),"")</f>
        <v/>
      </c>
      <c r="O38" s="62" t="str">
        <f>IF(AND('Mapa final'!$AA$27="Baja",'Mapa final'!$AC$27="Leve"),CONCATENATE("R3C",'Mapa final'!$Q$27),"")</f>
        <v/>
      </c>
      <c r="P38" s="51" t="str">
        <f>IF(AND('Mapa final'!$AA$22="Baja",'Mapa final'!$AC$22="Menor"),CONCATENATE("R3C",'Mapa final'!$Q$22),"")</f>
        <v/>
      </c>
      <c r="Q38" s="52" t="str">
        <f>IF(AND('Mapa final'!$AA$23="Baja",'Mapa final'!$AC$23="Menor"),CONCATENATE("R3C",'Mapa final'!$Q$23),"")</f>
        <v/>
      </c>
      <c r="R38" s="52" t="str">
        <f>IF(AND('Mapa final'!$AA$24="Baja",'Mapa final'!$AC$24="Menor"),CONCATENATE("R3C",'Mapa final'!$Q$24),"")</f>
        <v/>
      </c>
      <c r="S38" s="52" t="str">
        <f>IF(AND('Mapa final'!$AA$25="Baja",'Mapa final'!$AC$25="Menor"),CONCATENATE("R3C",'Mapa final'!$Q$25),"")</f>
        <v/>
      </c>
      <c r="T38" s="52" t="str">
        <f>IF(AND('Mapa final'!$AA$26="Baja",'Mapa final'!$AC$26="Menor"),CONCATENATE("R3C",'Mapa final'!$Q$26),"")</f>
        <v/>
      </c>
      <c r="U38" s="53" t="str">
        <f>IF(AND('Mapa final'!$AA$27="Baja",'Mapa final'!$AC$27="Menor"),CONCATENATE("R3C",'Mapa final'!$Q$27),"")</f>
        <v/>
      </c>
      <c r="V38" s="51" t="str">
        <f>IF(AND('Mapa final'!$AA$22="Baja",'Mapa final'!$AC$22="Moderado"),CONCATENATE("R3C",'Mapa final'!$Q$22),"")</f>
        <v/>
      </c>
      <c r="W38" s="52" t="str">
        <f>IF(AND('Mapa final'!$AA$23="Baja",'Mapa final'!$AC$23="Moderado"),CONCATENATE("R3C",'Mapa final'!$Q$23),"")</f>
        <v/>
      </c>
      <c r="X38" s="52" t="str">
        <f>IF(AND('Mapa final'!$AA$24="Baja",'Mapa final'!$AC$24="Moderado"),CONCATENATE("R3C",'Mapa final'!$Q$24),"")</f>
        <v/>
      </c>
      <c r="Y38" s="52" t="str">
        <f>IF(AND('Mapa final'!$AA$25="Baja",'Mapa final'!$AC$25="Moderado"),CONCATENATE("R3C",'Mapa final'!$Q$25),"")</f>
        <v/>
      </c>
      <c r="Z38" s="52" t="str">
        <f>IF(AND('Mapa final'!$AA$26="Baja",'Mapa final'!$AC$26="Moderado"),CONCATENATE("R3C",'Mapa final'!$Q$26),"")</f>
        <v/>
      </c>
      <c r="AA38" s="53" t="str">
        <f>IF(AND('Mapa final'!$AA$27="Baja",'Mapa final'!$AC$27="Moderado"),CONCATENATE("R3C",'Mapa final'!$Q$27),"")</f>
        <v/>
      </c>
      <c r="AB38" s="36" t="str">
        <f>IF(AND('Mapa final'!$AA$22="Baja",'Mapa final'!$AC$22="Mayor"),CONCATENATE("R3C",'Mapa final'!$Q$22),"")</f>
        <v/>
      </c>
      <c r="AC38" s="37" t="str">
        <f>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IF(AND('Mapa final'!$AA$22="Baja",'Mapa final'!$AC$22="Catastrófico"),CONCATENATE("R3C",'Mapa final'!$Q$22),"")</f>
        <v/>
      </c>
      <c r="AI38" s="40" t="str">
        <f>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7"/>
      <c r="AO38" s="425"/>
      <c r="AP38" s="426"/>
      <c r="AQ38" s="426"/>
      <c r="AR38" s="426"/>
      <c r="AS38" s="426"/>
      <c r="AT38" s="42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306"/>
      <c r="C39" s="306"/>
      <c r="D39" s="307"/>
      <c r="E39" s="405"/>
      <c r="F39" s="404"/>
      <c r="G39" s="404"/>
      <c r="H39" s="404"/>
      <c r="I39" s="404"/>
      <c r="J39" s="60" t="str">
        <f>IF(AND('Mapa final'!$AA$28="Baja",'Mapa final'!$AC$28="Leve"),CONCATENATE("R4C",'Mapa final'!$Q$28),"")</f>
        <v/>
      </c>
      <c r="K39" s="61" t="str">
        <f>IF(AND('Mapa final'!$AA$29="Baja",'Mapa final'!$AC$29="Leve"),CONCATENATE("R4C",'Mapa final'!$Q$29),"")</f>
        <v/>
      </c>
      <c r="L39" s="61" t="str">
        <f>IF(AND('Mapa final'!$AA$30="Baja",'Mapa final'!$AC$30="Leve"),CONCATENATE("R4C",'Mapa final'!$Q$30),"")</f>
        <v/>
      </c>
      <c r="M39" s="61" t="str">
        <f>IF(AND('Mapa final'!$AA$31="Baja",'Mapa final'!$AC$31="Leve"),CONCATENATE("R4C",'Mapa final'!$Q$31),"")</f>
        <v/>
      </c>
      <c r="N39" s="61" t="str">
        <f>IF(AND('Mapa final'!$AA$32="Baja",'Mapa final'!$AC$32="Leve"),CONCATENATE("R4C",'Mapa final'!$Q$32),"")</f>
        <v/>
      </c>
      <c r="O39" s="62" t="str">
        <f>IF(AND('Mapa final'!$AA$33="Baja",'Mapa final'!$AC$33="Leve"),CONCATENATE("R4C",'Mapa final'!$Q$33),"")</f>
        <v/>
      </c>
      <c r="P39" s="51" t="str">
        <f>IF(AND('Mapa final'!$AA$28="Baja",'Mapa final'!$AC$28="Menor"),CONCATENATE("R4C",'Mapa final'!$Q$28),"")</f>
        <v/>
      </c>
      <c r="Q39" s="52" t="str">
        <f>IF(AND('Mapa final'!$AA$29="Baja",'Mapa final'!$AC$29="Menor"),CONCATENATE("R4C",'Mapa final'!$Q$29),"")</f>
        <v/>
      </c>
      <c r="R39" s="52" t="str">
        <f>IF(AND('Mapa final'!$AA$30="Baja",'Mapa final'!$AC$30="Menor"),CONCATENATE("R4C",'Mapa final'!$Q$30),"")</f>
        <v/>
      </c>
      <c r="S39" s="52" t="str">
        <f>IF(AND('Mapa final'!$AA$31="Baja",'Mapa final'!$AC$31="Menor"),CONCATENATE("R4C",'Mapa final'!$Q$31),"")</f>
        <v/>
      </c>
      <c r="T39" s="52" t="str">
        <f>IF(AND('Mapa final'!$AA$32="Baja",'Mapa final'!$AC$32="Menor"),CONCATENATE("R4C",'Mapa final'!$Q$32),"")</f>
        <v/>
      </c>
      <c r="U39" s="53" t="str">
        <f>IF(AND('Mapa final'!$AA$33="Baja",'Mapa final'!$AC$33="Menor"),CONCATENATE("R4C",'Mapa final'!$Q$33),"")</f>
        <v/>
      </c>
      <c r="V39" s="51" t="str">
        <f>IF(AND('Mapa final'!$AA$28="Baja",'Mapa final'!$AC$28="Moderado"),CONCATENATE("R4C",'Mapa final'!$Q$28),"")</f>
        <v/>
      </c>
      <c r="W39" s="52" t="str">
        <f>IF(AND('Mapa final'!$AA$29="Baja",'Mapa final'!$AC$29="Moderado"),CONCATENATE("R4C",'Mapa final'!$Q$29),"")</f>
        <v/>
      </c>
      <c r="X39" s="52" t="str">
        <f>IF(AND('Mapa final'!$AA$30="Baja",'Mapa final'!$AC$30="Moderado"),CONCATENATE("R4C",'Mapa final'!$Q$30),"")</f>
        <v/>
      </c>
      <c r="Y39" s="52" t="str">
        <f>IF(AND('Mapa final'!$AA$31="Baja",'Mapa final'!$AC$31="Moderado"),CONCATENATE("R4C",'Mapa final'!$Q$31),"")</f>
        <v/>
      </c>
      <c r="Z39" s="52" t="str">
        <f>IF(AND('Mapa final'!$AA$32="Baja",'Mapa final'!$AC$32="Moderado"),CONCATENATE("R4C",'Mapa final'!$Q$32),"")</f>
        <v/>
      </c>
      <c r="AA39" s="53"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7"/>
      <c r="AO39" s="425"/>
      <c r="AP39" s="426"/>
      <c r="AQ39" s="426"/>
      <c r="AR39" s="426"/>
      <c r="AS39" s="426"/>
      <c r="AT39" s="42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306"/>
      <c r="C40" s="306"/>
      <c r="D40" s="307"/>
      <c r="E40" s="405"/>
      <c r="F40" s="404"/>
      <c r="G40" s="404"/>
      <c r="H40" s="404"/>
      <c r="I40" s="404"/>
      <c r="J40" s="60" t="str">
        <f>IF(AND('Mapa final'!$AA$34="Baja",'Mapa final'!$AC$34="Leve"),CONCATENATE("R5C",'Mapa final'!$Q$34),"")</f>
        <v/>
      </c>
      <c r="K40" s="61" t="str">
        <f>IF(AND('Mapa final'!$AA$35="Baja",'Mapa final'!$AC$35="Leve"),CONCATENATE("R5C",'Mapa final'!$Q$35),"")</f>
        <v/>
      </c>
      <c r="L40" s="61" t="str">
        <f>IF(AND('Mapa final'!$AA$36="Baja",'Mapa final'!$AC$36="Leve"),CONCATENATE("R5C",'Mapa final'!$Q$36),"")</f>
        <v/>
      </c>
      <c r="M40" s="61" t="str">
        <f>IF(AND('Mapa final'!$AA$37="Baja",'Mapa final'!$AC$37="Leve"),CONCATENATE("R5C",'Mapa final'!$Q$37),"")</f>
        <v/>
      </c>
      <c r="N40" s="61" t="str">
        <f>IF(AND('Mapa final'!$AA$38="Baja",'Mapa final'!$AC$38="Leve"),CONCATENATE("R5C",'Mapa final'!$Q$38),"")</f>
        <v/>
      </c>
      <c r="O40" s="62" t="str">
        <f>IF(AND('Mapa final'!$AA$39="Baja",'Mapa final'!$AC$39="Leve"),CONCATENATE("R5C",'Mapa final'!$Q$39),"")</f>
        <v/>
      </c>
      <c r="P40" s="51" t="str">
        <f>IF(AND('Mapa final'!$AA$34="Baja",'Mapa final'!$AC$34="Menor"),CONCATENATE("R5C",'Mapa final'!$Q$34),"")</f>
        <v/>
      </c>
      <c r="Q40" s="52" t="str">
        <f>IF(AND('Mapa final'!$AA$35="Baja",'Mapa final'!$AC$35="Menor"),CONCATENATE("R5C",'Mapa final'!$Q$35),"")</f>
        <v/>
      </c>
      <c r="R40" s="52" t="str">
        <f>IF(AND('Mapa final'!$AA$36="Baja",'Mapa final'!$AC$36="Menor"),CONCATENATE("R5C",'Mapa final'!$Q$36),"")</f>
        <v/>
      </c>
      <c r="S40" s="52" t="str">
        <f>IF(AND('Mapa final'!$AA$37="Baja",'Mapa final'!$AC$37="Menor"),CONCATENATE("R5C",'Mapa final'!$Q$37),"")</f>
        <v/>
      </c>
      <c r="T40" s="52" t="str">
        <f>IF(AND('Mapa final'!$AA$38="Baja",'Mapa final'!$AC$38="Menor"),CONCATENATE("R5C",'Mapa final'!$Q$38),"")</f>
        <v/>
      </c>
      <c r="U40" s="53" t="str">
        <f>IF(AND('Mapa final'!$AA$39="Baja",'Mapa final'!$AC$39="Menor"),CONCATENATE("R5C",'Mapa final'!$Q$39),"")</f>
        <v/>
      </c>
      <c r="V40" s="51" t="str">
        <f>IF(AND('Mapa final'!$AA$34="Baja",'Mapa final'!$AC$34="Moderado"),CONCATENATE("R5C",'Mapa final'!$Q$34),"")</f>
        <v/>
      </c>
      <c r="W40" s="52" t="str">
        <f>IF(AND('Mapa final'!$AA$35="Baja",'Mapa final'!$AC$35="Moderado"),CONCATENATE("R5C",'Mapa final'!$Q$35),"")</f>
        <v/>
      </c>
      <c r="X40" s="52" t="str">
        <f>IF(AND('Mapa final'!$AA$36="Baja",'Mapa final'!$AC$36="Moderado"),CONCATENATE("R5C",'Mapa final'!$Q$36),"")</f>
        <v/>
      </c>
      <c r="Y40" s="52" t="str">
        <f>IF(AND('Mapa final'!$AA$37="Baja",'Mapa final'!$AC$37="Moderado"),CONCATENATE("R5C",'Mapa final'!$Q$37),"")</f>
        <v/>
      </c>
      <c r="Z40" s="52" t="str">
        <f>IF(AND('Mapa final'!$AA$38="Baja",'Mapa final'!$AC$38="Moderado"),CONCATENATE("R5C",'Mapa final'!$Q$38),"")</f>
        <v/>
      </c>
      <c r="AA40" s="53"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37" t="str">
        <f>IF(AND('Mapa final'!$AA$36="Baja",'Mapa final'!$AC$36="Mayor"),CONCATENATE("R5C",'Mapa final'!$Q$36),"")</f>
        <v/>
      </c>
      <c r="AE40" s="37" t="str">
        <f>IF(AND('Mapa final'!$AA$37="Baja",'Mapa final'!$AC$37="Mayor"),CONCATENATE("R5C",'Mapa final'!$Q$37),"")</f>
        <v/>
      </c>
      <c r="AF40" s="37"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7"/>
      <c r="AO40" s="425"/>
      <c r="AP40" s="426"/>
      <c r="AQ40" s="426"/>
      <c r="AR40" s="426"/>
      <c r="AS40" s="426"/>
      <c r="AT40" s="42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306"/>
      <c r="C41" s="306"/>
      <c r="D41" s="307"/>
      <c r="E41" s="405"/>
      <c r="F41" s="404"/>
      <c r="G41" s="404"/>
      <c r="H41" s="404"/>
      <c r="I41" s="404"/>
      <c r="J41" s="60" t="str">
        <f>IF(AND('Mapa final'!$AA$40="Baja",'Mapa final'!$AC$40="Leve"),CONCATENATE("R6C",'Mapa final'!$Q$40),"")</f>
        <v/>
      </c>
      <c r="K41" s="61" t="str">
        <f>IF(AND('Mapa final'!$AA$41="Baja",'Mapa final'!$AC$41="Leve"),CONCATENATE("R6C",'Mapa final'!$Q$41),"")</f>
        <v/>
      </c>
      <c r="L41" s="61" t="str">
        <f>IF(AND('Mapa final'!$AA$42="Baja",'Mapa final'!$AC$42="Leve"),CONCATENATE("R6C",'Mapa final'!$Q$42),"")</f>
        <v/>
      </c>
      <c r="M41" s="61" t="str">
        <f>IF(AND('Mapa final'!$AA$43="Baja",'Mapa final'!$AC$43="Leve"),CONCATENATE("R6C",'Mapa final'!$Q$43),"")</f>
        <v/>
      </c>
      <c r="N41" s="61" t="str">
        <f>IF(AND('Mapa final'!$AA$44="Baja",'Mapa final'!$AC$44="Leve"),CONCATENATE("R6C",'Mapa final'!$Q$44),"")</f>
        <v/>
      </c>
      <c r="O41" s="62" t="str">
        <f>IF(AND('Mapa final'!$AA$45="Baja",'Mapa final'!$AC$45="Leve"),CONCATENATE("R6C",'Mapa final'!$Q$45),"")</f>
        <v/>
      </c>
      <c r="P41" s="51" t="str">
        <f>IF(AND('Mapa final'!$AA$40="Baja",'Mapa final'!$AC$40="Menor"),CONCATENATE("R6C",'Mapa final'!$Q$40),"")</f>
        <v/>
      </c>
      <c r="Q41" s="52" t="str">
        <f>IF(AND('Mapa final'!$AA$41="Baja",'Mapa final'!$AC$41="Menor"),CONCATENATE("R6C",'Mapa final'!$Q$41),"")</f>
        <v/>
      </c>
      <c r="R41" s="52" t="str">
        <f>IF(AND('Mapa final'!$AA$42="Baja",'Mapa final'!$AC$42="Menor"),CONCATENATE("R6C",'Mapa final'!$Q$42),"")</f>
        <v/>
      </c>
      <c r="S41" s="52" t="str">
        <f>IF(AND('Mapa final'!$AA$43="Baja",'Mapa final'!$AC$43="Menor"),CONCATENATE("R6C",'Mapa final'!$Q$43),"")</f>
        <v/>
      </c>
      <c r="T41" s="52" t="str">
        <f>IF(AND('Mapa final'!$AA$44="Baja",'Mapa final'!$AC$44="Menor"),CONCATENATE("R6C",'Mapa final'!$Q$44),"")</f>
        <v/>
      </c>
      <c r="U41" s="53" t="str">
        <f>IF(AND('Mapa final'!$AA$45="Baja",'Mapa final'!$AC$45="Menor"),CONCATENATE("R6C",'Mapa final'!$Q$45),"")</f>
        <v/>
      </c>
      <c r="V41" s="51" t="str">
        <f>IF(AND('Mapa final'!$AA$40="Baja",'Mapa final'!$AC$40="Moderado"),CONCATENATE("R6C",'Mapa final'!$Q$40),"")</f>
        <v/>
      </c>
      <c r="W41" s="52" t="str">
        <f>IF(AND('Mapa final'!$AA$41="Baja",'Mapa final'!$AC$41="Moderado"),CONCATENATE("R6C",'Mapa final'!$Q$41),"")</f>
        <v/>
      </c>
      <c r="X41" s="52" t="str">
        <f>IF(AND('Mapa final'!$AA$42="Baja",'Mapa final'!$AC$42="Moderado"),CONCATENATE("R6C",'Mapa final'!$Q$42),"")</f>
        <v/>
      </c>
      <c r="Y41" s="52" t="str">
        <f>IF(AND('Mapa final'!$AA$43="Baja",'Mapa final'!$AC$43="Moderado"),CONCATENATE("R6C",'Mapa final'!$Q$43),"")</f>
        <v/>
      </c>
      <c r="Z41" s="52" t="str">
        <f>IF(AND('Mapa final'!$AA$44="Baja",'Mapa final'!$AC$44="Moderado"),CONCATENATE("R6C",'Mapa final'!$Q$44),"")</f>
        <v/>
      </c>
      <c r="AA41" s="53"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37" t="str">
        <f>IF(AND('Mapa final'!$AA$42="Baja",'Mapa final'!$AC$42="Mayor"),CONCATENATE("R6C",'Mapa final'!$Q$42),"")</f>
        <v/>
      </c>
      <c r="AE41" s="37" t="str">
        <f>IF(AND('Mapa final'!$AA$43="Baja",'Mapa final'!$AC$43="Mayor"),CONCATENATE("R6C",'Mapa final'!$Q$43),"")</f>
        <v/>
      </c>
      <c r="AF41" s="37"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7"/>
      <c r="AO41" s="425"/>
      <c r="AP41" s="426"/>
      <c r="AQ41" s="426"/>
      <c r="AR41" s="426"/>
      <c r="AS41" s="426"/>
      <c r="AT41" s="42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306"/>
      <c r="C42" s="306"/>
      <c r="D42" s="307"/>
      <c r="E42" s="405"/>
      <c r="F42" s="404"/>
      <c r="G42" s="404"/>
      <c r="H42" s="404"/>
      <c r="I42" s="404"/>
      <c r="J42" s="60" t="str">
        <f>IF(AND('Mapa final'!$AA$46="Baja",'Mapa final'!$AC$46="Leve"),CONCATENATE("R7C",'Mapa final'!$Q$46),"")</f>
        <v/>
      </c>
      <c r="K42" s="61" t="str">
        <f>IF(AND('Mapa final'!$AA$47="Baja",'Mapa final'!$AC$47="Leve"),CONCATENATE("R7C",'Mapa final'!$Q$47),"")</f>
        <v/>
      </c>
      <c r="L42" s="61" t="str">
        <f>IF(AND('Mapa final'!$AA$48="Baja",'Mapa final'!$AC$48="Leve"),CONCATENATE("R7C",'Mapa final'!$Q$48),"")</f>
        <v/>
      </c>
      <c r="M42" s="61" t="str">
        <f>IF(AND('Mapa final'!$AA$49="Baja",'Mapa final'!$AC$49="Leve"),CONCATENATE("R7C",'Mapa final'!$Q$49),"")</f>
        <v/>
      </c>
      <c r="N42" s="61" t="str">
        <f>IF(AND('Mapa final'!$AA$50="Baja",'Mapa final'!$AC$50="Leve"),CONCATENATE("R7C",'Mapa final'!$Q$50),"")</f>
        <v/>
      </c>
      <c r="O42" s="62" t="str">
        <f>IF(AND('Mapa final'!$AA$51="Baja",'Mapa final'!$AC$51="Leve"),CONCATENATE("R7C",'Mapa final'!$Q$51),"")</f>
        <v/>
      </c>
      <c r="P42" s="51" t="str">
        <f>IF(AND('Mapa final'!$AA$46="Baja",'Mapa final'!$AC$46="Menor"),CONCATENATE("R7C",'Mapa final'!$Q$46),"")</f>
        <v/>
      </c>
      <c r="Q42" s="52" t="str">
        <f>IF(AND('Mapa final'!$AA$47="Baja",'Mapa final'!$AC$47="Menor"),CONCATENATE("R7C",'Mapa final'!$Q$47),"")</f>
        <v/>
      </c>
      <c r="R42" s="52" t="str">
        <f>IF(AND('Mapa final'!$AA$48="Baja",'Mapa final'!$AC$48="Menor"),CONCATENATE("R7C",'Mapa final'!$Q$48),"")</f>
        <v/>
      </c>
      <c r="S42" s="52" t="str">
        <f>IF(AND('Mapa final'!$AA$49="Baja",'Mapa final'!$AC$49="Menor"),CONCATENATE("R7C",'Mapa final'!$Q$49),"")</f>
        <v/>
      </c>
      <c r="T42" s="52" t="str">
        <f>IF(AND('Mapa final'!$AA$50="Baja",'Mapa final'!$AC$50="Menor"),CONCATENATE("R7C",'Mapa final'!$Q$50),"")</f>
        <v/>
      </c>
      <c r="U42" s="53" t="str">
        <f>IF(AND('Mapa final'!$AA$51="Baja",'Mapa final'!$AC$51="Menor"),CONCATENATE("R7C",'Mapa final'!$Q$51),"")</f>
        <v/>
      </c>
      <c r="V42" s="51" t="str">
        <f>IF(AND('Mapa final'!$AA$46="Baja",'Mapa final'!$AC$46="Moderado"),CONCATENATE("R7C",'Mapa final'!$Q$46),"")</f>
        <v/>
      </c>
      <c r="W42" s="52" t="str">
        <f>IF(AND('Mapa final'!$AA$47="Baja",'Mapa final'!$AC$47="Moderado"),CONCATENATE("R7C",'Mapa final'!$Q$47),"")</f>
        <v/>
      </c>
      <c r="X42" s="52" t="str">
        <f>IF(AND('Mapa final'!$AA$48="Baja",'Mapa final'!$AC$48="Moderado"),CONCATENATE("R7C",'Mapa final'!$Q$48),"")</f>
        <v/>
      </c>
      <c r="Y42" s="52" t="str">
        <f>IF(AND('Mapa final'!$AA$49="Baja",'Mapa final'!$AC$49="Moderado"),CONCATENATE("R7C",'Mapa final'!$Q$49),"")</f>
        <v/>
      </c>
      <c r="Z42" s="52" t="str">
        <f>IF(AND('Mapa final'!$AA$50="Baja",'Mapa final'!$AC$50="Moderado"),CONCATENATE("R7C",'Mapa final'!$Q$50),"")</f>
        <v/>
      </c>
      <c r="AA42" s="53"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37" t="str">
        <f>IF(AND('Mapa final'!$AA$48="Baja",'Mapa final'!$AC$48="Mayor"),CONCATENATE("R7C",'Mapa final'!$Q$48),"")</f>
        <v/>
      </c>
      <c r="AE42" s="37" t="str">
        <f>IF(AND('Mapa final'!$AA$49="Baja",'Mapa final'!$AC$49="Mayor"),CONCATENATE("R7C",'Mapa final'!$Q$49),"")</f>
        <v/>
      </c>
      <c r="AF42" s="37"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7"/>
      <c r="AO42" s="425"/>
      <c r="AP42" s="426"/>
      <c r="AQ42" s="426"/>
      <c r="AR42" s="426"/>
      <c r="AS42" s="426"/>
      <c r="AT42" s="42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306"/>
      <c r="C43" s="306"/>
      <c r="D43" s="307"/>
      <c r="E43" s="405"/>
      <c r="F43" s="404"/>
      <c r="G43" s="404"/>
      <c r="H43" s="404"/>
      <c r="I43" s="404"/>
      <c r="J43" s="60" t="str">
        <f>IF(AND('Mapa final'!$AA$52="Baja",'Mapa final'!$AC$52="Leve"),CONCATENATE("R8C",'Mapa final'!$Q$52),"")</f>
        <v/>
      </c>
      <c r="K43" s="61" t="str">
        <f>IF(AND('Mapa final'!$AA$53="Baja",'Mapa final'!$AC$53="Leve"),CONCATENATE("R8C",'Mapa final'!$Q$53),"")</f>
        <v/>
      </c>
      <c r="L43" s="61" t="str">
        <f>IF(AND('Mapa final'!$AA$54="Baja",'Mapa final'!$AC$54="Leve"),CONCATENATE("R8C",'Mapa final'!$Q$54),"")</f>
        <v/>
      </c>
      <c r="M43" s="61" t="str">
        <f>IF(AND('Mapa final'!$AA$55="Baja",'Mapa final'!$AC$55="Leve"),CONCATENATE("R8C",'Mapa final'!$Q$55),"")</f>
        <v/>
      </c>
      <c r="N43" s="61" t="str">
        <f>IF(AND('Mapa final'!$AA$56="Baja",'Mapa final'!$AC$56="Leve"),CONCATENATE("R8C",'Mapa final'!$Q$56),"")</f>
        <v/>
      </c>
      <c r="O43" s="62" t="str">
        <f>IF(AND('Mapa final'!$AA$57="Baja",'Mapa final'!$AC$57="Leve"),CONCATENATE("R8C",'Mapa final'!$Q$57),"")</f>
        <v/>
      </c>
      <c r="P43" s="51" t="str">
        <f>IF(AND('Mapa final'!$AA$52="Baja",'Mapa final'!$AC$52="Menor"),CONCATENATE("R8C",'Mapa final'!$Q$52),"")</f>
        <v/>
      </c>
      <c r="Q43" s="52" t="str">
        <f>IF(AND('Mapa final'!$AA$53="Baja",'Mapa final'!$AC$53="Menor"),CONCATENATE("R8C",'Mapa final'!$Q$53),"")</f>
        <v/>
      </c>
      <c r="R43" s="52" t="str">
        <f>IF(AND('Mapa final'!$AA$54="Baja",'Mapa final'!$AC$54="Menor"),CONCATENATE("R8C",'Mapa final'!$Q$54),"")</f>
        <v/>
      </c>
      <c r="S43" s="52" t="str">
        <f>IF(AND('Mapa final'!$AA$55="Baja",'Mapa final'!$AC$55="Menor"),CONCATENATE("R8C",'Mapa final'!$Q$55),"")</f>
        <v/>
      </c>
      <c r="T43" s="52" t="str">
        <f>IF(AND('Mapa final'!$AA$56="Baja",'Mapa final'!$AC$56="Menor"),CONCATENATE("R8C",'Mapa final'!$Q$56),"")</f>
        <v/>
      </c>
      <c r="U43" s="53" t="str">
        <f>IF(AND('Mapa final'!$AA$57="Baja",'Mapa final'!$AC$57="Menor"),CONCATENATE("R8C",'Mapa final'!$Q$57),"")</f>
        <v/>
      </c>
      <c r="V43" s="51" t="str">
        <f>IF(AND('Mapa final'!$AA$52="Baja",'Mapa final'!$AC$52="Moderado"),CONCATENATE("R8C",'Mapa final'!$Q$52),"")</f>
        <v/>
      </c>
      <c r="W43" s="52" t="str">
        <f>IF(AND('Mapa final'!$AA$53="Baja",'Mapa final'!$AC$53="Moderado"),CONCATENATE("R8C",'Mapa final'!$Q$53),"")</f>
        <v/>
      </c>
      <c r="X43" s="52" t="str">
        <f>IF(AND('Mapa final'!$AA$54="Baja",'Mapa final'!$AC$54="Moderado"),CONCATENATE("R8C",'Mapa final'!$Q$54),"")</f>
        <v/>
      </c>
      <c r="Y43" s="52" t="str">
        <f>IF(AND('Mapa final'!$AA$55="Baja",'Mapa final'!$AC$55="Moderado"),CONCATENATE("R8C",'Mapa final'!$Q$55),"")</f>
        <v/>
      </c>
      <c r="Z43" s="52" t="str">
        <f>IF(AND('Mapa final'!$AA$56="Baja",'Mapa final'!$AC$56="Moderado"),CONCATENATE("R8C",'Mapa final'!$Q$56),"")</f>
        <v/>
      </c>
      <c r="AA43" s="53"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37" t="str">
        <f>IF(AND('Mapa final'!$AA$54="Baja",'Mapa final'!$AC$54="Mayor"),CONCATENATE("R8C",'Mapa final'!$Q$54),"")</f>
        <v/>
      </c>
      <c r="AE43" s="37" t="str">
        <f>IF(AND('Mapa final'!$AA$55="Baja",'Mapa final'!$AC$55="Mayor"),CONCATENATE("R8C",'Mapa final'!$Q$55),"")</f>
        <v/>
      </c>
      <c r="AF43" s="37"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7"/>
      <c r="AO43" s="425"/>
      <c r="AP43" s="426"/>
      <c r="AQ43" s="426"/>
      <c r="AR43" s="426"/>
      <c r="AS43" s="426"/>
      <c r="AT43" s="42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306"/>
      <c r="C44" s="306"/>
      <c r="D44" s="307"/>
      <c r="E44" s="405"/>
      <c r="F44" s="404"/>
      <c r="G44" s="404"/>
      <c r="H44" s="404"/>
      <c r="I44" s="404"/>
      <c r="J44" s="60" t="str">
        <f>IF(AND('Mapa final'!$AA$58="Baja",'Mapa final'!$AC$58="Leve"),CONCATENATE("R9C",'Mapa final'!$Q$58),"")</f>
        <v/>
      </c>
      <c r="K44" s="61" t="str">
        <f>IF(AND('Mapa final'!$AA$59="Baja",'Mapa final'!$AC$59="Leve"),CONCATENATE("R9C",'Mapa final'!$Q$59),"")</f>
        <v/>
      </c>
      <c r="L44" s="61" t="str">
        <f>IF(AND('Mapa final'!$AA$60="Baja",'Mapa final'!$AC$60="Leve"),CONCATENATE("R9C",'Mapa final'!$Q$60),"")</f>
        <v/>
      </c>
      <c r="M44" s="61" t="str">
        <f>IF(AND('Mapa final'!$AA$61="Baja",'Mapa final'!$AC$61="Leve"),CONCATENATE("R9C",'Mapa final'!$Q$61),"")</f>
        <v/>
      </c>
      <c r="N44" s="61" t="str">
        <f>IF(AND('Mapa final'!$AA$62="Baja",'Mapa final'!$AC$62="Leve"),CONCATENATE("R9C",'Mapa final'!$Q$62),"")</f>
        <v/>
      </c>
      <c r="O44" s="62" t="str">
        <f>IF(AND('Mapa final'!$AA$63="Baja",'Mapa final'!$AC$63="Leve"),CONCATENATE("R9C",'Mapa final'!$Q$63),"")</f>
        <v/>
      </c>
      <c r="P44" s="51" t="str">
        <f>IF(AND('Mapa final'!$AA$58="Baja",'Mapa final'!$AC$58="Menor"),CONCATENATE("R9C",'Mapa final'!$Q$58),"")</f>
        <v/>
      </c>
      <c r="Q44" s="52" t="str">
        <f>IF(AND('Mapa final'!$AA$59="Baja",'Mapa final'!$AC$59="Menor"),CONCATENATE("R9C",'Mapa final'!$Q$59),"")</f>
        <v/>
      </c>
      <c r="R44" s="52" t="str">
        <f>IF(AND('Mapa final'!$AA$60="Baja",'Mapa final'!$AC$60="Menor"),CONCATENATE("R9C",'Mapa final'!$Q$60),"")</f>
        <v/>
      </c>
      <c r="S44" s="52" t="str">
        <f>IF(AND('Mapa final'!$AA$61="Baja",'Mapa final'!$AC$61="Menor"),CONCATENATE("R9C",'Mapa final'!$Q$61),"")</f>
        <v/>
      </c>
      <c r="T44" s="52" t="str">
        <f>IF(AND('Mapa final'!$AA$62="Baja",'Mapa final'!$AC$62="Menor"),CONCATENATE("R9C",'Mapa final'!$Q$62),"")</f>
        <v/>
      </c>
      <c r="U44" s="53" t="str">
        <f>IF(AND('Mapa final'!$AA$63="Baja",'Mapa final'!$AC$63="Menor"),CONCATENATE("R9C",'Mapa final'!$Q$63),"")</f>
        <v/>
      </c>
      <c r="V44" s="51" t="str">
        <f>IF(AND('Mapa final'!$AA$58="Baja",'Mapa final'!$AC$58="Moderado"),CONCATENATE("R9C",'Mapa final'!$Q$58),"")</f>
        <v/>
      </c>
      <c r="W44" s="52" t="str">
        <f>IF(AND('Mapa final'!$AA$59="Baja",'Mapa final'!$AC$59="Moderado"),CONCATENATE("R9C",'Mapa final'!$Q$59),"")</f>
        <v/>
      </c>
      <c r="X44" s="52" t="str">
        <f>IF(AND('Mapa final'!$AA$60="Baja",'Mapa final'!$AC$60="Moderado"),CONCATENATE("R9C",'Mapa final'!$Q$60),"")</f>
        <v/>
      </c>
      <c r="Y44" s="52" t="str">
        <f>IF(AND('Mapa final'!$AA$61="Baja",'Mapa final'!$AC$61="Moderado"),CONCATENATE("R9C",'Mapa final'!$Q$61),"")</f>
        <v/>
      </c>
      <c r="Z44" s="52" t="str">
        <f>IF(AND('Mapa final'!$AA$62="Baja",'Mapa final'!$AC$62="Moderado"),CONCATENATE("R9C",'Mapa final'!$Q$62),"")</f>
        <v/>
      </c>
      <c r="AA44" s="53"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37" t="str">
        <f>IF(AND('Mapa final'!$AA$60="Baja",'Mapa final'!$AC$60="Mayor"),CONCATENATE("R9C",'Mapa final'!$Q$60),"")</f>
        <v/>
      </c>
      <c r="AE44" s="37" t="str">
        <f>IF(AND('Mapa final'!$AA$61="Baja",'Mapa final'!$AC$61="Mayor"),CONCATENATE("R9C",'Mapa final'!$Q$61),"")</f>
        <v/>
      </c>
      <c r="AF44" s="37"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7"/>
      <c r="AO44" s="425"/>
      <c r="AP44" s="426"/>
      <c r="AQ44" s="426"/>
      <c r="AR44" s="426"/>
      <c r="AS44" s="426"/>
      <c r="AT44" s="42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306"/>
      <c r="C45" s="306"/>
      <c r="D45" s="307"/>
      <c r="E45" s="406"/>
      <c r="F45" s="407"/>
      <c r="G45" s="407"/>
      <c r="H45" s="407"/>
      <c r="I45" s="407"/>
      <c r="J45" s="63" t="str">
        <f>IF(AND('Mapa final'!$AA$64="Baja",'Mapa final'!$AC$64="Leve"),CONCATENATE("R10C",'Mapa final'!$Q$64),"")</f>
        <v/>
      </c>
      <c r="K45" s="64" t="str">
        <f>IF(AND('Mapa final'!$AA$65="Baja",'Mapa final'!$AC$65="Leve"),CONCATENATE("R10C",'Mapa final'!$Q$65),"")</f>
        <v/>
      </c>
      <c r="L45" s="64" t="str">
        <f>IF(AND('Mapa final'!$AA$66="Baja",'Mapa final'!$AC$66="Leve"),CONCATENATE("R10C",'Mapa final'!$Q$66),"")</f>
        <v/>
      </c>
      <c r="M45" s="64" t="str">
        <f>IF(AND('Mapa final'!$AA$67="Baja",'Mapa final'!$AC$67="Leve"),CONCATENATE("R10C",'Mapa final'!$Q$67),"")</f>
        <v/>
      </c>
      <c r="N45" s="64" t="str">
        <f>IF(AND('Mapa final'!$AA$68="Baja",'Mapa final'!$AC$68="Leve"),CONCATENATE("R10C",'Mapa final'!$Q$68),"")</f>
        <v/>
      </c>
      <c r="O45" s="65" t="str">
        <f>IF(AND('Mapa final'!$AA$69="Baja",'Mapa final'!$AC$69="Leve"),CONCATENATE("R10C",'Mapa final'!$Q$69),"")</f>
        <v/>
      </c>
      <c r="P45" s="51" t="str">
        <f>IF(AND('Mapa final'!$AA$64="Baja",'Mapa final'!$AC$64="Menor"),CONCATENATE("R10C",'Mapa final'!$Q$64),"")</f>
        <v/>
      </c>
      <c r="Q45" s="52" t="str">
        <f>IF(AND('Mapa final'!$AA$65="Baja",'Mapa final'!$AC$65="Menor"),CONCATENATE("R10C",'Mapa final'!$Q$65),"")</f>
        <v/>
      </c>
      <c r="R45" s="52" t="str">
        <f>IF(AND('Mapa final'!$AA$66="Baja",'Mapa final'!$AC$66="Menor"),CONCATENATE("R10C",'Mapa final'!$Q$66),"")</f>
        <v/>
      </c>
      <c r="S45" s="52" t="str">
        <f>IF(AND('Mapa final'!$AA$67="Baja",'Mapa final'!$AC$67="Menor"),CONCATENATE("R10C",'Mapa final'!$Q$67),"")</f>
        <v/>
      </c>
      <c r="T45" s="52" t="str">
        <f>IF(AND('Mapa final'!$AA$68="Baja",'Mapa final'!$AC$68="Menor"),CONCATENATE("R10C",'Mapa final'!$Q$68),"")</f>
        <v/>
      </c>
      <c r="U45" s="53" t="str">
        <f>IF(AND('Mapa final'!$AA$69="Baja",'Mapa final'!$AC$69="Menor"),CONCATENATE("R10C",'Mapa final'!$Q$69),"")</f>
        <v/>
      </c>
      <c r="V45" s="54" t="str">
        <f>IF(AND('Mapa final'!$AA$64="Baja",'Mapa final'!$AC$64="Moderado"),CONCATENATE("R10C",'Mapa final'!$Q$64),"")</f>
        <v/>
      </c>
      <c r="W45" s="55" t="str">
        <f>IF(AND('Mapa final'!$AA$65="Baja",'Mapa final'!$AC$65="Moderado"),CONCATENATE("R10C",'Mapa final'!$Q$65),"")</f>
        <v/>
      </c>
      <c r="X45" s="55" t="str">
        <f>IF(AND('Mapa final'!$AA$66="Baja",'Mapa final'!$AC$66="Moderado"),CONCATENATE("R10C",'Mapa final'!$Q$66),"")</f>
        <v/>
      </c>
      <c r="Y45" s="55" t="str">
        <f>IF(AND('Mapa final'!$AA$67="Baja",'Mapa final'!$AC$67="Moderado"),CONCATENATE("R10C",'Mapa final'!$Q$67),"")</f>
        <v/>
      </c>
      <c r="Z45" s="55" t="str">
        <f>IF(AND('Mapa final'!$AA$68="Baja",'Mapa final'!$AC$68="Moderado"),CONCATENATE("R10C",'Mapa final'!$Q$68),"")</f>
        <v/>
      </c>
      <c r="AA45" s="56" t="str">
        <f>IF(AND('Mapa final'!$AA$69="Baja",'Mapa final'!$AC$69="Moderado"),CONCATENATE("R10C",'Mapa final'!$Q$69),"")</f>
        <v/>
      </c>
      <c r="AB45" s="42" t="str">
        <f>IF(AND('Mapa final'!$AA$64="Baja",'Mapa final'!$AC$64="Mayor"),CONCATENATE("R10C",'Mapa final'!$Q$64),"")</f>
        <v/>
      </c>
      <c r="AC45" s="43" t="str">
        <f>IF(AND('Mapa final'!$AA$65="Baja",'Mapa final'!$AC$65="Mayor"),CONCATENATE("R10C",'Mapa final'!$Q$65),"")</f>
        <v/>
      </c>
      <c r="AD45" s="43" t="str">
        <f>IF(AND('Mapa final'!$AA$66="Baja",'Mapa final'!$AC$66="Mayor"),CONCATENATE("R10C",'Mapa final'!$Q$66),"")</f>
        <v/>
      </c>
      <c r="AE45" s="43" t="str">
        <f>IF(AND('Mapa final'!$AA$67="Baja",'Mapa final'!$AC$67="Mayor"),CONCATENATE("R10C",'Mapa final'!$Q$67),"")</f>
        <v/>
      </c>
      <c r="AF45" s="43" t="str">
        <f>IF(AND('Mapa final'!$AA$68="Baja",'Mapa final'!$AC$68="Mayor"),CONCATENATE("R10C",'Mapa final'!$Q$68),"")</f>
        <v/>
      </c>
      <c r="AG45" s="44" t="str">
        <f>IF(AND('Mapa final'!$AA$69="Baja",'Mapa final'!$AC$69="Mayor"),CONCATENATE("R10C",'Mapa final'!$Q$69),"")</f>
        <v/>
      </c>
      <c r="AH45" s="45" t="str">
        <f>IF(AND('Mapa final'!$AA$64="Baja",'Mapa final'!$AC$64="Catastrófico"),CONCATENATE("R10C",'Mapa final'!$Q$64),"")</f>
        <v/>
      </c>
      <c r="AI45" s="46" t="str">
        <f>IF(AND('Mapa final'!$AA$65="Baja",'Mapa final'!$AC$65="Catastrófico"),CONCATENATE("R10C",'Mapa final'!$Q$65),"")</f>
        <v/>
      </c>
      <c r="AJ45" s="46" t="str">
        <f>IF(AND('Mapa final'!$AA$66="Baja",'Mapa final'!$AC$66="Catastrófico"),CONCATENATE("R10C",'Mapa final'!$Q$66),"")</f>
        <v/>
      </c>
      <c r="AK45" s="46" t="str">
        <f>IF(AND('Mapa final'!$AA$67="Baja",'Mapa final'!$AC$67="Catastrófico"),CONCATENATE("R10C",'Mapa final'!$Q$67),"")</f>
        <v/>
      </c>
      <c r="AL45" s="46" t="str">
        <f>IF(AND('Mapa final'!$AA$68="Baja",'Mapa final'!$AC$68="Catastrófico"),CONCATENATE("R10C",'Mapa final'!$Q$68),"")</f>
        <v/>
      </c>
      <c r="AM45" s="47" t="str">
        <f>IF(AND('Mapa final'!$AA$69="Baja",'Mapa final'!$AC$69="Catastrófico"),CONCATENATE("R10C",'Mapa final'!$Q$69),"")</f>
        <v/>
      </c>
      <c r="AN45" s="67"/>
      <c r="AO45" s="428"/>
      <c r="AP45" s="429"/>
      <c r="AQ45" s="429"/>
      <c r="AR45" s="429"/>
      <c r="AS45" s="429"/>
      <c r="AT45" s="430"/>
    </row>
    <row r="46" spans="1:80" ht="46.5" customHeight="1" x14ac:dyDescent="0.35">
      <c r="A46" s="67"/>
      <c r="B46" s="306"/>
      <c r="C46" s="306"/>
      <c r="D46" s="307"/>
      <c r="E46" s="401" t="s">
        <v>107</v>
      </c>
      <c r="F46" s="402"/>
      <c r="G46" s="402"/>
      <c r="H46" s="402"/>
      <c r="I46" s="419"/>
      <c r="J46" s="57" t="str">
        <f ca="1">IF(AND('Mapa final'!$AA$10="Muy Baja",'Mapa final'!$AC$10="Leve"),CONCATENATE("R1C",'Mapa final'!$Q$10),"")</f>
        <v/>
      </c>
      <c r="K46" s="58" t="str">
        <f ca="1">IF(AND('Mapa final'!$AA$11="Muy Baja",'Mapa final'!$AC$11="Leve"),CONCATENATE("R1C",'Mapa final'!$Q$11),"")</f>
        <v/>
      </c>
      <c r="L46" s="58" t="str">
        <f ca="1">IF(AND('Mapa final'!$AA$12="Muy Baja",'Mapa final'!$AC$12="Leve"),CONCATENATE("R1C",'Mapa final'!$Q$12),"")</f>
        <v/>
      </c>
      <c r="M46" s="58" t="str">
        <f ca="1">IF(AND('Mapa final'!$AA$13="Muy Baja",'Mapa final'!$AC$13="Leve"),CONCATENATE("R1C",'Mapa final'!$Q$13),"")</f>
        <v/>
      </c>
      <c r="N46" s="58" t="str">
        <f ca="1">IF(AND('Mapa final'!$AA$14="Muy Baja",'Mapa final'!$AC$14="Leve"),CONCATENATE("R1C",'Mapa final'!$Q$14),"")</f>
        <v/>
      </c>
      <c r="O46" s="59" t="str">
        <f>IF(AND('Mapa final'!$AA$15="Muy Baja",'Mapa final'!$AC$15="Leve"),CONCATENATE("R1C",'Mapa final'!$Q$15),"")</f>
        <v/>
      </c>
      <c r="P46" s="57" t="str">
        <f ca="1">IF(AND('Mapa final'!$AA$10="Muy Baja",'Mapa final'!$AC$10="Menor"),CONCATENATE("R1C",'Mapa final'!$Q$10),"")</f>
        <v/>
      </c>
      <c r="Q46" s="58" t="str">
        <f ca="1">IF(AND('Mapa final'!$AA$11="Muy Baja",'Mapa final'!$AC$11="Menor"),CONCATENATE("R1C",'Mapa final'!$Q$11),"")</f>
        <v/>
      </c>
      <c r="R46" s="58" t="str">
        <f ca="1">IF(AND('Mapa final'!$AA$12="Muy Baja",'Mapa final'!$AC$12="Menor"),CONCATENATE("R1C",'Mapa final'!$Q$12),"")</f>
        <v/>
      </c>
      <c r="S46" s="58" t="str">
        <f ca="1">IF(AND('Mapa final'!$AA$13="Muy Baja",'Mapa final'!$AC$13="Menor"),CONCATENATE("R1C",'Mapa final'!$Q$13),"")</f>
        <v/>
      </c>
      <c r="T46" s="58" t="str">
        <f ca="1">IF(AND('Mapa final'!$AA$14="Muy Baja",'Mapa final'!$AC$14="Menor"),CONCATENATE("R1C",'Mapa final'!$Q$14),"")</f>
        <v/>
      </c>
      <c r="U46" s="59" t="str">
        <f>IF(AND('Mapa final'!$AA$15="Muy Baja",'Mapa final'!$AC$15="Menor"),CONCATENATE("R1C",'Mapa final'!$Q$15),"")</f>
        <v/>
      </c>
      <c r="V46" s="48" t="str">
        <f ca="1">IF(AND('Mapa final'!$AA$10="Muy Baja",'Mapa final'!$AC$10="Moderado"),CONCATENATE("R1C",'Mapa final'!$Q$10),"")</f>
        <v/>
      </c>
      <c r="W46" s="66" t="str">
        <f ca="1">IF(AND('Mapa final'!$AA$11="Muy Baja",'Mapa final'!$AC$11="Moderado"),CONCATENATE("R1C",'Mapa final'!$Q$11),"")</f>
        <v/>
      </c>
      <c r="X46" s="49" t="str">
        <f ca="1">IF(AND('Mapa final'!$AA$12="Muy Baja",'Mapa final'!$AC$12="Moderado"),CONCATENATE("R1C",'Mapa final'!$Q$12),"")</f>
        <v/>
      </c>
      <c r="Y46" s="49" t="str">
        <f ca="1">IF(AND('Mapa final'!$AA$13="Muy Baja",'Mapa final'!$AC$13="Moderado"),CONCATENATE("R1C",'Mapa final'!$Q$13),"")</f>
        <v/>
      </c>
      <c r="Z46" s="49" t="str">
        <f ca="1">IF(AND('Mapa final'!$AA$14="Muy Baja",'Mapa final'!$AC$14="Moderado"),CONCATENATE("R1C",'Mapa final'!$Q$14),"")</f>
        <v>R1C5</v>
      </c>
      <c r="AA46" s="50" t="str">
        <f>IF(AND('Mapa final'!$AA$15="Muy Baja",'Mapa final'!$AC$15="Moderado"),CONCATENATE("R1C",'Mapa final'!$Q$15),"")</f>
        <v/>
      </c>
      <c r="AB46" s="30" t="str">
        <f ca="1">IF(AND('Mapa final'!$AA$10="Muy Baja",'Mapa final'!$AC$10="Mayor"),CONCATENATE("R1C",'Mapa final'!$Q$10),"")</f>
        <v/>
      </c>
      <c r="AC46" s="31" t="str">
        <f ca="1">IF(AND('Mapa final'!$AA$11="Muy Baja",'Mapa final'!$AC$11="Mayor"),CONCATENATE("R1C",'Mapa final'!$Q$11),"")</f>
        <v/>
      </c>
      <c r="AD46" s="31" t="str">
        <f ca="1">IF(AND('Mapa final'!$AA$12="Muy Baja",'Mapa final'!$AC$12="Mayor"),CONCATENATE("R1C",'Mapa final'!$Q$12),"")</f>
        <v/>
      </c>
      <c r="AE46" s="31" t="str">
        <f ca="1">IF(AND('Mapa final'!$AA$13="Muy Baja",'Mapa final'!$AC$13="Mayor"),CONCATENATE("R1C",'Mapa final'!$Q$13),"")</f>
        <v/>
      </c>
      <c r="AF46" s="31" t="str">
        <f ca="1">IF(AND('Mapa final'!$AA$14="Muy Baja",'Mapa final'!$AC$14="Mayor"),CONCATENATE("R1C",'Mapa final'!$Q$14),"")</f>
        <v/>
      </c>
      <c r="AG46" s="32" t="str">
        <f>IF(AND('Mapa final'!$AA$15="Muy Baja",'Mapa final'!$AC$15="Mayor"),CONCATENATE("R1C",'Mapa final'!$Q$15),"")</f>
        <v/>
      </c>
      <c r="AH46" s="33" t="str">
        <f ca="1">IF(AND('Mapa final'!$AA$10="Muy Baja",'Mapa final'!$AC$10="Catastrófico"),CONCATENATE("R1C",'Mapa final'!$Q$10),"")</f>
        <v/>
      </c>
      <c r="AI46" s="34" t="str">
        <f ca="1">IF(AND('Mapa final'!$AA$11="Muy Baja",'Mapa final'!$AC$11="Catastrófico"),CONCATENATE("R1C",'Mapa final'!$Q$11),"")</f>
        <v/>
      </c>
      <c r="AJ46" s="34" t="str">
        <f ca="1">IF(AND('Mapa final'!$AA$12="Muy Baja",'Mapa final'!$AC$12="Catastrófico"),CONCATENATE("R1C",'Mapa final'!$Q$12),"")</f>
        <v/>
      </c>
      <c r="AK46" s="34" t="str">
        <f ca="1">IF(AND('Mapa final'!$AA$13="Muy Baja",'Mapa final'!$AC$13="Catastrófico"),CONCATENATE("R1C",'Mapa final'!$Q$13),"")</f>
        <v/>
      </c>
      <c r="AL46" s="34" t="str">
        <f ca="1">IF(AND('Mapa final'!$AA$14="Muy Baja",'Mapa final'!$AC$14="Catastrófico"),CONCATENATE("R1C",'Mapa final'!$Q$14),"")</f>
        <v/>
      </c>
      <c r="AM46" s="35" t="str">
        <f>IF(AND('Mapa final'!$AA$15="Muy Baja",'Mapa final'!$AC$15="Catastrófico"),CONCATENATE("R1C",'Mapa final'!$Q$15),"")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306"/>
      <c r="C47" s="306"/>
      <c r="D47" s="307"/>
      <c r="E47" s="403"/>
      <c r="F47" s="404"/>
      <c r="G47" s="404"/>
      <c r="H47" s="404"/>
      <c r="I47" s="420"/>
      <c r="J47" s="60" t="str">
        <f>IF(AND('Mapa final'!$AA$16="Muy Baja",'Mapa final'!$AC$16="Leve"),CONCATENATE("R2C",'Mapa final'!$Q$16),"")</f>
        <v/>
      </c>
      <c r="K47" s="61" t="str">
        <f>IF(AND('Mapa final'!$AA$17="Muy Baja",'Mapa final'!$AC$17="Leve"),CONCATENATE("R2C",'Mapa final'!$Q$17),"")</f>
        <v/>
      </c>
      <c r="L47" s="61" t="str">
        <f>IF(AND('Mapa final'!$AA$18="Muy Baja",'Mapa final'!$AC$18="Leve"),CONCATENATE("R2C",'Mapa final'!$Q$18),"")</f>
        <v/>
      </c>
      <c r="M47" s="61" t="str">
        <f>IF(AND('Mapa final'!$AA$19="Muy Baja",'Mapa final'!$AC$19="Leve"),CONCATENATE("R2C",'Mapa final'!$Q$19),"")</f>
        <v/>
      </c>
      <c r="N47" s="61" t="str">
        <f>IF(AND('Mapa final'!$AA$20="Muy Baja",'Mapa final'!$AC$20="Leve"),CONCATENATE("R2C",'Mapa final'!$Q$20),"")</f>
        <v/>
      </c>
      <c r="O47" s="62" t="str">
        <f>IF(AND('Mapa final'!$AA$21="Muy Baja",'Mapa final'!$AC$21="Leve"),CONCATENATE("R2C",'Mapa final'!$Q$21),"")</f>
        <v/>
      </c>
      <c r="P47" s="60" t="str">
        <f>IF(AND('Mapa final'!$AA$16="Muy Baja",'Mapa final'!$AC$16="Menor"),CONCATENATE("R2C",'Mapa final'!$Q$16),"")</f>
        <v/>
      </c>
      <c r="Q47" s="61" t="str">
        <f>IF(AND('Mapa final'!$AA$17="Muy Baja",'Mapa final'!$AC$17="Menor"),CONCATENATE("R2C",'Mapa final'!$Q$17),"")</f>
        <v/>
      </c>
      <c r="R47" s="61" t="str">
        <f>IF(AND('Mapa final'!$AA$18="Muy Baja",'Mapa final'!$AC$18="Menor"),CONCATENATE("R2C",'Mapa final'!$Q$18),"")</f>
        <v/>
      </c>
      <c r="S47" s="61" t="str">
        <f>IF(AND('Mapa final'!$AA$19="Muy Baja",'Mapa final'!$AC$19="Menor"),CONCATENATE("R2C",'Mapa final'!$Q$19),"")</f>
        <v/>
      </c>
      <c r="T47" s="61" t="str">
        <f>IF(AND('Mapa final'!$AA$20="Muy Baja",'Mapa final'!$AC$20="Menor"),CONCATENATE("R2C",'Mapa final'!$Q$20),"")</f>
        <v/>
      </c>
      <c r="U47" s="62" t="str">
        <f>IF(AND('Mapa final'!$AA$21="Muy Baja",'Mapa final'!$AC$21="Menor"),CONCATENATE("R2C",'Mapa final'!$Q$21),"")</f>
        <v/>
      </c>
      <c r="V47" s="51" t="str">
        <f>IF(AND('Mapa final'!$AA$16="Muy Baja",'Mapa final'!$AC$16="Moderado"),CONCATENATE("R2C",'Mapa final'!$Q$16),"")</f>
        <v/>
      </c>
      <c r="W47" s="52" t="str">
        <f>IF(AND('Mapa final'!$AA$17="Muy Baja",'Mapa final'!$AC$17="Moderado"),CONCATENATE("R2C",'Mapa final'!$Q$17),"")</f>
        <v/>
      </c>
      <c r="X47" s="52" t="str">
        <f>IF(AND('Mapa final'!$AA$18="Muy Baja",'Mapa final'!$AC$18="Moderado"),CONCATENATE("R2C",'Mapa final'!$Q$18),"")</f>
        <v/>
      </c>
      <c r="Y47" s="52" t="str">
        <f>IF(AND('Mapa final'!$AA$19="Muy Baja",'Mapa final'!$AC$19="Moderado"),CONCATENATE("R2C",'Mapa final'!$Q$19),"")</f>
        <v/>
      </c>
      <c r="Z47" s="52" t="str">
        <f>IF(AND('Mapa final'!$AA$20="Muy Baja",'Mapa final'!$AC$20="Moderado"),CONCATENATE("R2C",'Mapa final'!$Q$20),"")</f>
        <v/>
      </c>
      <c r="AA47" s="53" t="str">
        <f>IF(AND('Mapa final'!$AA$21="Muy Baja",'Mapa final'!$AC$21="Moderado"),CONCATENATE("R2C",'Mapa final'!$Q$21),"")</f>
        <v/>
      </c>
      <c r="AB47" s="36" t="str">
        <f>IF(AND('Mapa final'!$AA$16="Muy Baja",'Mapa final'!$AC$16="Mayor"),CONCATENATE("R2C",'Mapa final'!$Q$16),"")</f>
        <v/>
      </c>
      <c r="AC47" s="37" t="str">
        <f>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IF(AND('Mapa final'!$AA$16="Muy Baja",'Mapa final'!$AC$16="Catastrófico"),CONCATENATE("R2C",'Mapa final'!$Q$16),"")</f>
        <v/>
      </c>
      <c r="AI47" s="40" t="str">
        <f>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306"/>
      <c r="C48" s="306"/>
      <c r="D48" s="307"/>
      <c r="E48" s="403"/>
      <c r="F48" s="404"/>
      <c r="G48" s="404"/>
      <c r="H48" s="404"/>
      <c r="I48" s="420"/>
      <c r="J48" s="60" t="str">
        <f>IF(AND('Mapa final'!$AA$22="Muy Baja",'Mapa final'!$AC$22="Leve"),CONCATENATE("R3C",'Mapa final'!$Q$22),"")</f>
        <v/>
      </c>
      <c r="K48" s="61" t="str">
        <f>IF(AND('Mapa final'!$AA$23="Muy Baja",'Mapa final'!$AC$23="Leve"),CONCATENATE("R3C",'Mapa final'!$Q$23),"")</f>
        <v/>
      </c>
      <c r="L48" s="61" t="str">
        <f>IF(AND('Mapa final'!$AA$24="Muy Baja",'Mapa final'!$AC$24="Leve"),CONCATENATE("R3C",'Mapa final'!$Q$24),"")</f>
        <v/>
      </c>
      <c r="M48" s="61" t="str">
        <f>IF(AND('Mapa final'!$AA$25="Muy Baja",'Mapa final'!$AC$25="Leve"),CONCATENATE("R3C",'Mapa final'!$Q$25),"")</f>
        <v/>
      </c>
      <c r="N48" s="61" t="str">
        <f>IF(AND('Mapa final'!$AA$26="Muy Baja",'Mapa final'!$AC$26="Leve"),CONCATENATE("R3C",'Mapa final'!$Q$26),"")</f>
        <v/>
      </c>
      <c r="O48" s="62" t="str">
        <f>IF(AND('Mapa final'!$AA$27="Muy Baja",'Mapa final'!$AC$27="Leve"),CONCATENATE("R3C",'Mapa final'!$Q$27),"")</f>
        <v/>
      </c>
      <c r="P48" s="60" t="str">
        <f>IF(AND('Mapa final'!$AA$22="Muy Baja",'Mapa final'!$AC$22="Menor"),CONCATENATE("R3C",'Mapa final'!$Q$22),"")</f>
        <v/>
      </c>
      <c r="Q48" s="61" t="str">
        <f>IF(AND('Mapa final'!$AA$23="Muy Baja",'Mapa final'!$AC$23="Menor"),CONCATENATE("R3C",'Mapa final'!$Q$23),"")</f>
        <v/>
      </c>
      <c r="R48" s="61" t="str">
        <f>IF(AND('Mapa final'!$AA$24="Muy Baja",'Mapa final'!$AC$24="Menor"),CONCATENATE("R3C",'Mapa final'!$Q$24),"")</f>
        <v/>
      </c>
      <c r="S48" s="61" t="str">
        <f>IF(AND('Mapa final'!$AA$25="Muy Baja",'Mapa final'!$AC$25="Menor"),CONCATENATE("R3C",'Mapa final'!$Q$25),"")</f>
        <v/>
      </c>
      <c r="T48" s="61" t="str">
        <f>IF(AND('Mapa final'!$AA$26="Muy Baja",'Mapa final'!$AC$26="Menor"),CONCATENATE("R3C",'Mapa final'!$Q$26),"")</f>
        <v/>
      </c>
      <c r="U48" s="62" t="str">
        <f>IF(AND('Mapa final'!$AA$27="Muy Baja",'Mapa final'!$AC$27="Menor"),CONCATENATE("R3C",'Mapa final'!$Q$27),"")</f>
        <v/>
      </c>
      <c r="V48" s="51" t="str">
        <f>IF(AND('Mapa final'!$AA$22="Muy Baja",'Mapa final'!$AC$22="Moderado"),CONCATENATE("R3C",'Mapa final'!$Q$22),"")</f>
        <v/>
      </c>
      <c r="W48" s="52" t="str">
        <f>IF(AND('Mapa final'!$AA$23="Muy Baja",'Mapa final'!$AC$23="Moderado"),CONCATENATE("R3C",'Mapa final'!$Q$23),"")</f>
        <v/>
      </c>
      <c r="X48" s="52" t="str">
        <f>IF(AND('Mapa final'!$AA$24="Muy Baja",'Mapa final'!$AC$24="Moderado"),CONCATENATE("R3C",'Mapa final'!$Q$24),"")</f>
        <v/>
      </c>
      <c r="Y48" s="52" t="str">
        <f>IF(AND('Mapa final'!$AA$25="Muy Baja",'Mapa final'!$AC$25="Moderado"),CONCATENATE("R3C",'Mapa final'!$Q$25),"")</f>
        <v/>
      </c>
      <c r="Z48" s="52" t="str">
        <f>IF(AND('Mapa final'!$AA$26="Muy Baja",'Mapa final'!$AC$26="Moderado"),CONCATENATE("R3C",'Mapa final'!$Q$26),"")</f>
        <v/>
      </c>
      <c r="AA48" s="53" t="str">
        <f>IF(AND('Mapa final'!$AA$27="Muy Baja",'Mapa final'!$AC$27="Moderado"),CONCATENATE("R3C",'Mapa final'!$Q$27),"")</f>
        <v/>
      </c>
      <c r="AB48" s="36" t="str">
        <f>IF(AND('Mapa final'!$AA$22="Muy Baja",'Mapa final'!$AC$22="Mayor"),CONCATENATE("R3C",'Mapa final'!$Q$22),"")</f>
        <v/>
      </c>
      <c r="AC48" s="37" t="str">
        <f>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IF(AND('Mapa final'!$AA$22="Muy Baja",'Mapa final'!$AC$22="Catastrófico"),CONCATENATE("R3C",'Mapa final'!$Q$22),"")</f>
        <v/>
      </c>
      <c r="AI48" s="40" t="str">
        <f>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306"/>
      <c r="C49" s="306"/>
      <c r="D49" s="307"/>
      <c r="E49" s="405"/>
      <c r="F49" s="404"/>
      <c r="G49" s="404"/>
      <c r="H49" s="404"/>
      <c r="I49" s="420"/>
      <c r="J49" s="60" t="str">
        <f>IF(AND('Mapa final'!$AA$28="Muy Baja",'Mapa final'!$AC$28="Leve"),CONCATENATE("R4C",'Mapa final'!$Q$28),"")</f>
        <v/>
      </c>
      <c r="K49" s="61" t="str">
        <f>IF(AND('Mapa final'!$AA$29="Muy Baja",'Mapa final'!$AC$29="Leve"),CONCATENATE("R4C",'Mapa final'!$Q$29),"")</f>
        <v/>
      </c>
      <c r="L49" s="61" t="str">
        <f>IF(AND('Mapa final'!$AA$30="Muy Baja",'Mapa final'!$AC$30="Leve"),CONCATENATE("R4C",'Mapa final'!$Q$30),"")</f>
        <v/>
      </c>
      <c r="M49" s="61" t="str">
        <f>IF(AND('Mapa final'!$AA$31="Muy Baja",'Mapa final'!$AC$31="Leve"),CONCATENATE("R4C",'Mapa final'!$Q$31),"")</f>
        <v/>
      </c>
      <c r="N49" s="61" t="str">
        <f>IF(AND('Mapa final'!$AA$32="Muy Baja",'Mapa final'!$AC$32="Leve"),CONCATENATE("R4C",'Mapa final'!$Q$32),"")</f>
        <v/>
      </c>
      <c r="O49" s="62" t="str">
        <f>IF(AND('Mapa final'!$AA$33="Muy Baja",'Mapa final'!$AC$33="Leve"),CONCATENATE("R4C",'Mapa final'!$Q$33),"")</f>
        <v/>
      </c>
      <c r="P49" s="60" t="str">
        <f>IF(AND('Mapa final'!$AA$28="Muy Baja",'Mapa final'!$AC$28="Menor"),CONCATENATE("R4C",'Mapa final'!$Q$28),"")</f>
        <v/>
      </c>
      <c r="Q49" s="61" t="str">
        <f>IF(AND('Mapa final'!$AA$29="Muy Baja",'Mapa final'!$AC$29="Menor"),CONCATENATE("R4C",'Mapa final'!$Q$29),"")</f>
        <v/>
      </c>
      <c r="R49" s="61" t="str">
        <f>IF(AND('Mapa final'!$AA$30="Muy Baja",'Mapa final'!$AC$30="Menor"),CONCATENATE("R4C",'Mapa final'!$Q$30),"")</f>
        <v/>
      </c>
      <c r="S49" s="61" t="str">
        <f>IF(AND('Mapa final'!$AA$31="Muy Baja",'Mapa final'!$AC$31="Menor"),CONCATENATE("R4C",'Mapa final'!$Q$31),"")</f>
        <v/>
      </c>
      <c r="T49" s="61" t="str">
        <f>IF(AND('Mapa final'!$AA$32="Muy Baja",'Mapa final'!$AC$32="Menor"),CONCATENATE("R4C",'Mapa final'!$Q$32),"")</f>
        <v/>
      </c>
      <c r="U49" s="62" t="str">
        <f>IF(AND('Mapa final'!$AA$33="Muy Baja",'Mapa final'!$AC$33="Menor"),CONCATENATE("R4C",'Mapa final'!$Q$33),"")</f>
        <v/>
      </c>
      <c r="V49" s="51" t="str">
        <f>IF(AND('Mapa final'!$AA$28="Muy Baja",'Mapa final'!$AC$28="Moderado"),CONCATENATE("R4C",'Mapa final'!$Q$28),"")</f>
        <v/>
      </c>
      <c r="W49" s="52" t="str">
        <f>IF(AND('Mapa final'!$AA$29="Muy Baja",'Mapa final'!$AC$29="Moderado"),CONCATENATE("R4C",'Mapa final'!$Q$29),"")</f>
        <v/>
      </c>
      <c r="X49" s="52" t="str">
        <f>IF(AND('Mapa final'!$AA$30="Muy Baja",'Mapa final'!$AC$30="Moderado"),CONCATENATE("R4C",'Mapa final'!$Q$30),"")</f>
        <v/>
      </c>
      <c r="Y49" s="52" t="str">
        <f>IF(AND('Mapa final'!$AA$31="Muy Baja",'Mapa final'!$AC$31="Moderado"),CONCATENATE("R4C",'Mapa final'!$Q$31),"")</f>
        <v/>
      </c>
      <c r="Z49" s="52" t="str">
        <f>IF(AND('Mapa final'!$AA$32="Muy Baja",'Mapa final'!$AC$32="Moderado"),CONCATENATE("R4C",'Mapa final'!$Q$32),"")</f>
        <v/>
      </c>
      <c r="AA49" s="53"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306"/>
      <c r="C50" s="306"/>
      <c r="D50" s="307"/>
      <c r="E50" s="405"/>
      <c r="F50" s="404"/>
      <c r="G50" s="404"/>
      <c r="H50" s="404"/>
      <c r="I50" s="420"/>
      <c r="J50" s="60" t="str">
        <f>IF(AND('Mapa final'!$AA$34="Muy Baja",'Mapa final'!$AC$34="Leve"),CONCATENATE("R5C",'Mapa final'!$Q$34),"")</f>
        <v/>
      </c>
      <c r="K50" s="61" t="str">
        <f>IF(AND('Mapa final'!$AA$35="Muy Baja",'Mapa final'!$AC$35="Leve"),CONCATENATE("R5C",'Mapa final'!$Q$35),"")</f>
        <v/>
      </c>
      <c r="L50" s="61" t="str">
        <f>IF(AND('Mapa final'!$AA$36="Muy Baja",'Mapa final'!$AC$36="Leve"),CONCATENATE("R5C",'Mapa final'!$Q$36),"")</f>
        <v/>
      </c>
      <c r="M50" s="61" t="str">
        <f>IF(AND('Mapa final'!$AA$37="Muy Baja",'Mapa final'!$AC$37="Leve"),CONCATENATE("R5C",'Mapa final'!$Q$37),"")</f>
        <v/>
      </c>
      <c r="N50" s="61" t="str">
        <f>IF(AND('Mapa final'!$AA$38="Muy Baja",'Mapa final'!$AC$38="Leve"),CONCATENATE("R5C",'Mapa final'!$Q$38),"")</f>
        <v/>
      </c>
      <c r="O50" s="62" t="str">
        <f>IF(AND('Mapa final'!$AA$39="Muy Baja",'Mapa final'!$AC$39="Leve"),CONCATENATE("R5C",'Mapa final'!$Q$39),"")</f>
        <v/>
      </c>
      <c r="P50" s="60" t="str">
        <f>IF(AND('Mapa final'!$AA$34="Muy Baja",'Mapa final'!$AC$34="Menor"),CONCATENATE("R5C",'Mapa final'!$Q$34),"")</f>
        <v/>
      </c>
      <c r="Q50" s="61" t="str">
        <f>IF(AND('Mapa final'!$AA$35="Muy Baja",'Mapa final'!$AC$35="Menor"),CONCATENATE("R5C",'Mapa final'!$Q$35),"")</f>
        <v/>
      </c>
      <c r="R50" s="61" t="str">
        <f>IF(AND('Mapa final'!$AA$36="Muy Baja",'Mapa final'!$AC$36="Menor"),CONCATENATE("R5C",'Mapa final'!$Q$36),"")</f>
        <v/>
      </c>
      <c r="S50" s="61" t="str">
        <f>IF(AND('Mapa final'!$AA$37="Muy Baja",'Mapa final'!$AC$37="Menor"),CONCATENATE("R5C",'Mapa final'!$Q$37),"")</f>
        <v/>
      </c>
      <c r="T50" s="61" t="str">
        <f>IF(AND('Mapa final'!$AA$38="Muy Baja",'Mapa final'!$AC$38="Menor"),CONCATENATE("R5C",'Mapa final'!$Q$38),"")</f>
        <v/>
      </c>
      <c r="U50" s="62" t="str">
        <f>IF(AND('Mapa final'!$AA$39="Muy Baja",'Mapa final'!$AC$39="Menor"),CONCATENATE("R5C",'Mapa final'!$Q$39),"")</f>
        <v/>
      </c>
      <c r="V50" s="51" t="str">
        <f>IF(AND('Mapa final'!$AA$34="Muy Baja",'Mapa final'!$AC$34="Moderado"),CONCATENATE("R5C",'Mapa final'!$Q$34),"")</f>
        <v/>
      </c>
      <c r="W50" s="52" t="str">
        <f>IF(AND('Mapa final'!$AA$35="Muy Baja",'Mapa final'!$AC$35="Moderado"),CONCATENATE("R5C",'Mapa final'!$Q$35),"")</f>
        <v/>
      </c>
      <c r="X50" s="52" t="str">
        <f>IF(AND('Mapa final'!$AA$36="Muy Baja",'Mapa final'!$AC$36="Moderado"),CONCATENATE("R5C",'Mapa final'!$Q$36),"")</f>
        <v/>
      </c>
      <c r="Y50" s="52" t="str">
        <f>IF(AND('Mapa final'!$AA$37="Muy Baja",'Mapa final'!$AC$37="Moderado"),CONCATENATE("R5C",'Mapa final'!$Q$37),"")</f>
        <v/>
      </c>
      <c r="Z50" s="52" t="str">
        <f>IF(AND('Mapa final'!$AA$38="Muy Baja",'Mapa final'!$AC$38="Moderado"),CONCATENATE("R5C",'Mapa final'!$Q$38),"")</f>
        <v/>
      </c>
      <c r="AA50" s="53"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37" t="str">
        <f>IF(AND('Mapa final'!$AA$36="Muy Baja",'Mapa final'!$AC$36="Mayor"),CONCATENATE("R5C",'Mapa final'!$Q$36),"")</f>
        <v/>
      </c>
      <c r="AE50" s="37" t="str">
        <f>IF(AND('Mapa final'!$AA$37="Muy Baja",'Mapa final'!$AC$37="Mayor"),CONCATENATE("R5C",'Mapa final'!$Q$37),"")</f>
        <v/>
      </c>
      <c r="AF50" s="37"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306"/>
      <c r="C51" s="306"/>
      <c r="D51" s="307"/>
      <c r="E51" s="405"/>
      <c r="F51" s="404"/>
      <c r="G51" s="404"/>
      <c r="H51" s="404"/>
      <c r="I51" s="420"/>
      <c r="J51" s="60" t="str">
        <f>IF(AND('Mapa final'!$AA$40="Muy Baja",'Mapa final'!$AC$40="Leve"),CONCATENATE("R6C",'Mapa final'!$Q$40),"")</f>
        <v/>
      </c>
      <c r="K51" s="61" t="str">
        <f>IF(AND('Mapa final'!$AA$41="Muy Baja",'Mapa final'!$AC$41="Leve"),CONCATENATE("R6C",'Mapa final'!$Q$41),"")</f>
        <v/>
      </c>
      <c r="L51" s="61" t="str">
        <f>IF(AND('Mapa final'!$AA$42="Muy Baja",'Mapa final'!$AC$42="Leve"),CONCATENATE("R6C",'Mapa final'!$Q$42),"")</f>
        <v/>
      </c>
      <c r="M51" s="61" t="str">
        <f>IF(AND('Mapa final'!$AA$43="Muy Baja",'Mapa final'!$AC$43="Leve"),CONCATENATE("R6C",'Mapa final'!$Q$43),"")</f>
        <v/>
      </c>
      <c r="N51" s="61" t="str">
        <f>IF(AND('Mapa final'!$AA$44="Muy Baja",'Mapa final'!$AC$44="Leve"),CONCATENATE("R6C",'Mapa final'!$Q$44),"")</f>
        <v/>
      </c>
      <c r="O51" s="62" t="str">
        <f>IF(AND('Mapa final'!$AA$45="Muy Baja",'Mapa final'!$AC$45="Leve"),CONCATENATE("R6C",'Mapa final'!$Q$45),"")</f>
        <v/>
      </c>
      <c r="P51" s="60" t="str">
        <f>IF(AND('Mapa final'!$AA$40="Muy Baja",'Mapa final'!$AC$40="Menor"),CONCATENATE("R6C",'Mapa final'!$Q$40),"")</f>
        <v/>
      </c>
      <c r="Q51" s="61" t="str">
        <f>IF(AND('Mapa final'!$AA$41="Muy Baja",'Mapa final'!$AC$41="Menor"),CONCATENATE("R6C",'Mapa final'!$Q$41),"")</f>
        <v/>
      </c>
      <c r="R51" s="61" t="str">
        <f>IF(AND('Mapa final'!$AA$42="Muy Baja",'Mapa final'!$AC$42="Menor"),CONCATENATE("R6C",'Mapa final'!$Q$42),"")</f>
        <v/>
      </c>
      <c r="S51" s="61" t="str">
        <f>IF(AND('Mapa final'!$AA$43="Muy Baja",'Mapa final'!$AC$43="Menor"),CONCATENATE("R6C",'Mapa final'!$Q$43),"")</f>
        <v/>
      </c>
      <c r="T51" s="61" t="str">
        <f>IF(AND('Mapa final'!$AA$44="Muy Baja",'Mapa final'!$AC$44="Menor"),CONCATENATE("R6C",'Mapa final'!$Q$44),"")</f>
        <v/>
      </c>
      <c r="U51" s="62" t="str">
        <f>IF(AND('Mapa final'!$AA$45="Muy Baja",'Mapa final'!$AC$45="Menor"),CONCATENATE("R6C",'Mapa final'!$Q$45),"")</f>
        <v/>
      </c>
      <c r="V51" s="51" t="str">
        <f>IF(AND('Mapa final'!$AA$40="Muy Baja",'Mapa final'!$AC$40="Moderado"),CONCATENATE("R6C",'Mapa final'!$Q$40),"")</f>
        <v/>
      </c>
      <c r="W51" s="52" t="str">
        <f>IF(AND('Mapa final'!$AA$41="Muy Baja",'Mapa final'!$AC$41="Moderado"),CONCATENATE("R6C",'Mapa final'!$Q$41),"")</f>
        <v/>
      </c>
      <c r="X51" s="52" t="str">
        <f>IF(AND('Mapa final'!$AA$42="Muy Baja",'Mapa final'!$AC$42="Moderado"),CONCATENATE("R6C",'Mapa final'!$Q$42),"")</f>
        <v/>
      </c>
      <c r="Y51" s="52" t="str">
        <f>IF(AND('Mapa final'!$AA$43="Muy Baja",'Mapa final'!$AC$43="Moderado"),CONCATENATE("R6C",'Mapa final'!$Q$43),"")</f>
        <v/>
      </c>
      <c r="Z51" s="52" t="str">
        <f>IF(AND('Mapa final'!$AA$44="Muy Baja",'Mapa final'!$AC$44="Moderado"),CONCATENATE("R6C",'Mapa final'!$Q$44),"")</f>
        <v/>
      </c>
      <c r="AA51" s="53"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37" t="str">
        <f>IF(AND('Mapa final'!$AA$42="Muy Baja",'Mapa final'!$AC$42="Mayor"),CONCATENATE("R6C",'Mapa final'!$Q$42),"")</f>
        <v/>
      </c>
      <c r="AE51" s="37" t="str">
        <f>IF(AND('Mapa final'!$AA$43="Muy Baja",'Mapa final'!$AC$43="Mayor"),CONCATENATE("R6C",'Mapa final'!$Q$43),"")</f>
        <v/>
      </c>
      <c r="AF51" s="37"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306"/>
      <c r="C52" s="306"/>
      <c r="D52" s="307"/>
      <c r="E52" s="405"/>
      <c r="F52" s="404"/>
      <c r="G52" s="404"/>
      <c r="H52" s="404"/>
      <c r="I52" s="420"/>
      <c r="J52" s="60" t="str">
        <f>IF(AND('Mapa final'!$AA$46="Muy Baja",'Mapa final'!$AC$46="Leve"),CONCATENATE("R7C",'Mapa final'!$Q$46),"")</f>
        <v/>
      </c>
      <c r="K52" s="61" t="str">
        <f>IF(AND('Mapa final'!$AA$47="Muy Baja",'Mapa final'!$AC$47="Leve"),CONCATENATE("R7C",'Mapa final'!$Q$47),"")</f>
        <v/>
      </c>
      <c r="L52" s="61" t="str">
        <f>IF(AND('Mapa final'!$AA$48="Muy Baja",'Mapa final'!$AC$48="Leve"),CONCATENATE("R7C",'Mapa final'!$Q$48),"")</f>
        <v/>
      </c>
      <c r="M52" s="61" t="str">
        <f>IF(AND('Mapa final'!$AA$49="Muy Baja",'Mapa final'!$AC$49="Leve"),CONCATENATE("R7C",'Mapa final'!$Q$49),"")</f>
        <v/>
      </c>
      <c r="N52" s="61" t="str">
        <f>IF(AND('Mapa final'!$AA$50="Muy Baja",'Mapa final'!$AC$50="Leve"),CONCATENATE("R7C",'Mapa final'!$Q$50),"")</f>
        <v/>
      </c>
      <c r="O52" s="62" t="str">
        <f>IF(AND('Mapa final'!$AA$51="Muy Baja",'Mapa final'!$AC$51="Leve"),CONCATENATE("R7C",'Mapa final'!$Q$51),"")</f>
        <v/>
      </c>
      <c r="P52" s="60" t="str">
        <f>IF(AND('Mapa final'!$AA$46="Muy Baja",'Mapa final'!$AC$46="Menor"),CONCATENATE("R7C",'Mapa final'!$Q$46),"")</f>
        <v/>
      </c>
      <c r="Q52" s="61" t="str">
        <f>IF(AND('Mapa final'!$AA$47="Muy Baja",'Mapa final'!$AC$47="Menor"),CONCATENATE("R7C",'Mapa final'!$Q$47),"")</f>
        <v/>
      </c>
      <c r="R52" s="61" t="str">
        <f>IF(AND('Mapa final'!$AA$48="Muy Baja",'Mapa final'!$AC$48="Menor"),CONCATENATE("R7C",'Mapa final'!$Q$48),"")</f>
        <v/>
      </c>
      <c r="S52" s="61" t="str">
        <f>IF(AND('Mapa final'!$AA$49="Muy Baja",'Mapa final'!$AC$49="Menor"),CONCATENATE("R7C",'Mapa final'!$Q$49),"")</f>
        <v/>
      </c>
      <c r="T52" s="61" t="str">
        <f>IF(AND('Mapa final'!$AA$50="Muy Baja",'Mapa final'!$AC$50="Menor"),CONCATENATE("R7C",'Mapa final'!$Q$50),"")</f>
        <v/>
      </c>
      <c r="U52" s="62" t="str">
        <f>IF(AND('Mapa final'!$AA$51="Muy Baja",'Mapa final'!$AC$51="Menor"),CONCATENATE("R7C",'Mapa final'!$Q$51),"")</f>
        <v/>
      </c>
      <c r="V52" s="51" t="str">
        <f>IF(AND('Mapa final'!$AA$46="Muy Baja",'Mapa final'!$AC$46="Moderado"),CONCATENATE("R7C",'Mapa final'!$Q$46),"")</f>
        <v/>
      </c>
      <c r="W52" s="52" t="str">
        <f>IF(AND('Mapa final'!$AA$47="Muy Baja",'Mapa final'!$AC$47="Moderado"),CONCATENATE("R7C",'Mapa final'!$Q$47),"")</f>
        <v/>
      </c>
      <c r="X52" s="52" t="str">
        <f>IF(AND('Mapa final'!$AA$48="Muy Baja",'Mapa final'!$AC$48="Moderado"),CONCATENATE("R7C",'Mapa final'!$Q$48),"")</f>
        <v/>
      </c>
      <c r="Y52" s="52" t="str">
        <f>IF(AND('Mapa final'!$AA$49="Muy Baja",'Mapa final'!$AC$49="Moderado"),CONCATENATE("R7C",'Mapa final'!$Q$49),"")</f>
        <v/>
      </c>
      <c r="Z52" s="52" t="str">
        <f>IF(AND('Mapa final'!$AA$50="Muy Baja",'Mapa final'!$AC$50="Moderado"),CONCATENATE("R7C",'Mapa final'!$Q$50),"")</f>
        <v/>
      </c>
      <c r="AA52" s="53"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37" t="str">
        <f>IF(AND('Mapa final'!$AA$48="Muy Baja",'Mapa final'!$AC$48="Mayor"),CONCATENATE("R7C",'Mapa final'!$Q$48),"")</f>
        <v/>
      </c>
      <c r="AE52" s="37" t="str">
        <f>IF(AND('Mapa final'!$AA$49="Muy Baja",'Mapa final'!$AC$49="Mayor"),CONCATENATE("R7C",'Mapa final'!$Q$49),"")</f>
        <v/>
      </c>
      <c r="AF52" s="37"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306"/>
      <c r="C53" s="306"/>
      <c r="D53" s="307"/>
      <c r="E53" s="405"/>
      <c r="F53" s="404"/>
      <c r="G53" s="404"/>
      <c r="H53" s="404"/>
      <c r="I53" s="420"/>
      <c r="J53" s="60" t="str">
        <f>IF(AND('Mapa final'!$AA$52="Muy Baja",'Mapa final'!$AC$52="Leve"),CONCATENATE("R8C",'Mapa final'!$Q$52),"")</f>
        <v/>
      </c>
      <c r="K53" s="61" t="str">
        <f>IF(AND('Mapa final'!$AA$53="Muy Baja",'Mapa final'!$AC$53="Leve"),CONCATENATE("R8C",'Mapa final'!$Q$53),"")</f>
        <v/>
      </c>
      <c r="L53" s="61" t="str">
        <f>IF(AND('Mapa final'!$AA$54="Muy Baja",'Mapa final'!$AC$54="Leve"),CONCATENATE("R8C",'Mapa final'!$Q$54),"")</f>
        <v/>
      </c>
      <c r="M53" s="61" t="str">
        <f>IF(AND('Mapa final'!$AA$55="Muy Baja",'Mapa final'!$AC$55="Leve"),CONCATENATE("R8C",'Mapa final'!$Q$55),"")</f>
        <v/>
      </c>
      <c r="N53" s="61" t="str">
        <f>IF(AND('Mapa final'!$AA$56="Muy Baja",'Mapa final'!$AC$56="Leve"),CONCATENATE("R8C",'Mapa final'!$Q$56),"")</f>
        <v/>
      </c>
      <c r="O53" s="62" t="str">
        <f>IF(AND('Mapa final'!$AA$57="Muy Baja",'Mapa final'!$AC$57="Leve"),CONCATENATE("R8C",'Mapa final'!$Q$57),"")</f>
        <v/>
      </c>
      <c r="P53" s="60" t="str">
        <f>IF(AND('Mapa final'!$AA$52="Muy Baja",'Mapa final'!$AC$52="Menor"),CONCATENATE("R8C",'Mapa final'!$Q$52),"")</f>
        <v/>
      </c>
      <c r="Q53" s="61" t="str">
        <f>IF(AND('Mapa final'!$AA$53="Muy Baja",'Mapa final'!$AC$53="Menor"),CONCATENATE("R8C",'Mapa final'!$Q$53),"")</f>
        <v/>
      </c>
      <c r="R53" s="61" t="str">
        <f>IF(AND('Mapa final'!$AA$54="Muy Baja",'Mapa final'!$AC$54="Menor"),CONCATENATE("R8C",'Mapa final'!$Q$54),"")</f>
        <v/>
      </c>
      <c r="S53" s="61" t="str">
        <f>IF(AND('Mapa final'!$AA$55="Muy Baja",'Mapa final'!$AC$55="Menor"),CONCATENATE("R8C",'Mapa final'!$Q$55),"")</f>
        <v/>
      </c>
      <c r="T53" s="61" t="str">
        <f>IF(AND('Mapa final'!$AA$56="Muy Baja",'Mapa final'!$AC$56="Menor"),CONCATENATE("R8C",'Mapa final'!$Q$56),"")</f>
        <v/>
      </c>
      <c r="U53" s="62" t="str">
        <f>IF(AND('Mapa final'!$AA$57="Muy Baja",'Mapa final'!$AC$57="Menor"),CONCATENATE("R8C",'Mapa final'!$Q$57),"")</f>
        <v/>
      </c>
      <c r="V53" s="51" t="str">
        <f>IF(AND('Mapa final'!$AA$52="Muy Baja",'Mapa final'!$AC$52="Moderado"),CONCATENATE("R8C",'Mapa final'!$Q$52),"")</f>
        <v/>
      </c>
      <c r="W53" s="52" t="str">
        <f>IF(AND('Mapa final'!$AA$53="Muy Baja",'Mapa final'!$AC$53="Moderado"),CONCATENATE("R8C",'Mapa final'!$Q$53),"")</f>
        <v/>
      </c>
      <c r="X53" s="52" t="str">
        <f>IF(AND('Mapa final'!$AA$54="Muy Baja",'Mapa final'!$AC$54="Moderado"),CONCATENATE("R8C",'Mapa final'!$Q$54),"")</f>
        <v/>
      </c>
      <c r="Y53" s="52" t="str">
        <f>IF(AND('Mapa final'!$AA$55="Muy Baja",'Mapa final'!$AC$55="Moderado"),CONCATENATE("R8C",'Mapa final'!$Q$55),"")</f>
        <v/>
      </c>
      <c r="Z53" s="52" t="str">
        <f>IF(AND('Mapa final'!$AA$56="Muy Baja",'Mapa final'!$AC$56="Moderado"),CONCATENATE("R8C",'Mapa final'!$Q$56),"")</f>
        <v/>
      </c>
      <c r="AA53" s="53"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37" t="str">
        <f>IF(AND('Mapa final'!$AA$54="Muy Baja",'Mapa final'!$AC$54="Mayor"),CONCATENATE("R8C",'Mapa final'!$Q$54),"")</f>
        <v/>
      </c>
      <c r="AE53" s="37" t="str">
        <f>IF(AND('Mapa final'!$AA$55="Muy Baja",'Mapa final'!$AC$55="Mayor"),CONCATENATE("R8C",'Mapa final'!$Q$55),"")</f>
        <v/>
      </c>
      <c r="AF53" s="37"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306"/>
      <c r="C54" s="306"/>
      <c r="D54" s="307"/>
      <c r="E54" s="405"/>
      <c r="F54" s="404"/>
      <c r="G54" s="404"/>
      <c r="H54" s="404"/>
      <c r="I54" s="420"/>
      <c r="J54" s="60" t="str">
        <f>IF(AND('Mapa final'!$AA$58="Muy Baja",'Mapa final'!$AC$58="Leve"),CONCATENATE("R9C",'Mapa final'!$Q$58),"")</f>
        <v/>
      </c>
      <c r="K54" s="61" t="str">
        <f>IF(AND('Mapa final'!$AA$59="Muy Baja",'Mapa final'!$AC$59="Leve"),CONCATENATE("R9C",'Mapa final'!$Q$59),"")</f>
        <v/>
      </c>
      <c r="L54" s="61" t="str">
        <f>IF(AND('Mapa final'!$AA$60="Muy Baja",'Mapa final'!$AC$60="Leve"),CONCATENATE("R9C",'Mapa final'!$Q$60),"")</f>
        <v/>
      </c>
      <c r="M54" s="61" t="str">
        <f>IF(AND('Mapa final'!$AA$61="Muy Baja",'Mapa final'!$AC$61="Leve"),CONCATENATE("R9C",'Mapa final'!$Q$61),"")</f>
        <v/>
      </c>
      <c r="N54" s="61" t="str">
        <f>IF(AND('Mapa final'!$AA$62="Muy Baja",'Mapa final'!$AC$62="Leve"),CONCATENATE("R9C",'Mapa final'!$Q$62),"")</f>
        <v/>
      </c>
      <c r="O54" s="62" t="str">
        <f>IF(AND('Mapa final'!$AA$63="Muy Baja",'Mapa final'!$AC$63="Leve"),CONCATENATE("R9C",'Mapa final'!$Q$63),"")</f>
        <v/>
      </c>
      <c r="P54" s="60" t="str">
        <f>IF(AND('Mapa final'!$AA$58="Muy Baja",'Mapa final'!$AC$58="Menor"),CONCATENATE("R9C",'Mapa final'!$Q$58),"")</f>
        <v/>
      </c>
      <c r="Q54" s="61" t="str">
        <f>IF(AND('Mapa final'!$AA$59="Muy Baja",'Mapa final'!$AC$59="Menor"),CONCATENATE("R9C",'Mapa final'!$Q$59),"")</f>
        <v/>
      </c>
      <c r="R54" s="61" t="str">
        <f>IF(AND('Mapa final'!$AA$60="Muy Baja",'Mapa final'!$AC$60="Menor"),CONCATENATE("R9C",'Mapa final'!$Q$60),"")</f>
        <v/>
      </c>
      <c r="S54" s="61" t="str">
        <f>IF(AND('Mapa final'!$AA$61="Muy Baja",'Mapa final'!$AC$61="Menor"),CONCATENATE("R9C",'Mapa final'!$Q$61),"")</f>
        <v/>
      </c>
      <c r="T54" s="61" t="str">
        <f>IF(AND('Mapa final'!$AA$62="Muy Baja",'Mapa final'!$AC$62="Menor"),CONCATENATE("R9C",'Mapa final'!$Q$62),"")</f>
        <v/>
      </c>
      <c r="U54" s="62" t="str">
        <f>IF(AND('Mapa final'!$AA$63="Muy Baja",'Mapa final'!$AC$63="Menor"),CONCATENATE("R9C",'Mapa final'!$Q$63),"")</f>
        <v/>
      </c>
      <c r="V54" s="51" t="str">
        <f>IF(AND('Mapa final'!$AA$58="Muy Baja",'Mapa final'!$AC$58="Moderado"),CONCATENATE("R9C",'Mapa final'!$Q$58),"")</f>
        <v/>
      </c>
      <c r="W54" s="52" t="str">
        <f>IF(AND('Mapa final'!$AA$59="Muy Baja",'Mapa final'!$AC$59="Moderado"),CONCATENATE("R9C",'Mapa final'!$Q$59),"")</f>
        <v/>
      </c>
      <c r="X54" s="52" t="str">
        <f>IF(AND('Mapa final'!$AA$60="Muy Baja",'Mapa final'!$AC$60="Moderado"),CONCATENATE("R9C",'Mapa final'!$Q$60),"")</f>
        <v/>
      </c>
      <c r="Y54" s="52" t="str">
        <f>IF(AND('Mapa final'!$AA$61="Muy Baja",'Mapa final'!$AC$61="Moderado"),CONCATENATE("R9C",'Mapa final'!$Q$61),"")</f>
        <v/>
      </c>
      <c r="Z54" s="52" t="str">
        <f>IF(AND('Mapa final'!$AA$62="Muy Baja",'Mapa final'!$AC$62="Moderado"),CONCATENATE("R9C",'Mapa final'!$Q$62),"")</f>
        <v/>
      </c>
      <c r="AA54" s="53"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37" t="str">
        <f>IF(AND('Mapa final'!$AA$60="Muy Baja",'Mapa final'!$AC$60="Mayor"),CONCATENATE("R9C",'Mapa final'!$Q$60),"")</f>
        <v/>
      </c>
      <c r="AE54" s="37" t="str">
        <f>IF(AND('Mapa final'!$AA$61="Muy Baja",'Mapa final'!$AC$61="Mayor"),CONCATENATE("R9C",'Mapa final'!$Q$61),"")</f>
        <v/>
      </c>
      <c r="AF54" s="37"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306"/>
      <c r="C55" s="306"/>
      <c r="D55" s="307"/>
      <c r="E55" s="406"/>
      <c r="F55" s="407"/>
      <c r="G55" s="407"/>
      <c r="H55" s="407"/>
      <c r="I55" s="421"/>
      <c r="J55" s="63" t="str">
        <f>IF(AND('Mapa final'!$AA$64="Muy Baja",'Mapa final'!$AC$64="Leve"),CONCATENATE("R10C",'Mapa final'!$Q$64),"")</f>
        <v/>
      </c>
      <c r="K55" s="64" t="str">
        <f>IF(AND('Mapa final'!$AA$65="Muy Baja",'Mapa final'!$AC$65="Leve"),CONCATENATE("R10C",'Mapa final'!$Q$65),"")</f>
        <v/>
      </c>
      <c r="L55" s="64" t="str">
        <f>IF(AND('Mapa final'!$AA$66="Muy Baja",'Mapa final'!$AC$66="Leve"),CONCATENATE("R10C",'Mapa final'!$Q$66),"")</f>
        <v/>
      </c>
      <c r="M55" s="64" t="str">
        <f>IF(AND('Mapa final'!$AA$67="Muy Baja",'Mapa final'!$AC$67="Leve"),CONCATENATE("R10C",'Mapa final'!$Q$67),"")</f>
        <v/>
      </c>
      <c r="N55" s="64" t="str">
        <f>IF(AND('Mapa final'!$AA$68="Muy Baja",'Mapa final'!$AC$68="Leve"),CONCATENATE("R10C",'Mapa final'!$Q$68),"")</f>
        <v/>
      </c>
      <c r="O55" s="65" t="str">
        <f>IF(AND('Mapa final'!$AA$69="Muy Baja",'Mapa final'!$AC$69="Leve"),CONCATENATE("R10C",'Mapa final'!$Q$69),"")</f>
        <v/>
      </c>
      <c r="P55" s="63" t="str">
        <f>IF(AND('Mapa final'!$AA$64="Muy Baja",'Mapa final'!$AC$64="Menor"),CONCATENATE("R10C",'Mapa final'!$Q$64),"")</f>
        <v/>
      </c>
      <c r="Q55" s="64" t="str">
        <f>IF(AND('Mapa final'!$AA$65="Muy Baja",'Mapa final'!$AC$65="Menor"),CONCATENATE("R10C",'Mapa final'!$Q$65),"")</f>
        <v/>
      </c>
      <c r="R55" s="64" t="str">
        <f>IF(AND('Mapa final'!$AA$66="Muy Baja",'Mapa final'!$AC$66="Menor"),CONCATENATE("R10C",'Mapa final'!$Q$66),"")</f>
        <v/>
      </c>
      <c r="S55" s="64" t="str">
        <f>IF(AND('Mapa final'!$AA$67="Muy Baja",'Mapa final'!$AC$67="Menor"),CONCATENATE("R10C",'Mapa final'!$Q$67),"")</f>
        <v/>
      </c>
      <c r="T55" s="64" t="str">
        <f>IF(AND('Mapa final'!$AA$68="Muy Baja",'Mapa final'!$AC$68="Menor"),CONCATENATE("R10C",'Mapa final'!$Q$68),"")</f>
        <v/>
      </c>
      <c r="U55" s="65" t="str">
        <f>IF(AND('Mapa final'!$AA$69="Muy Baja",'Mapa final'!$AC$69="Menor"),CONCATENATE("R10C",'Mapa final'!$Q$69),"")</f>
        <v/>
      </c>
      <c r="V55" s="54" t="str">
        <f>IF(AND('Mapa final'!$AA$64="Muy Baja",'Mapa final'!$AC$64="Moderado"),CONCATENATE("R10C",'Mapa final'!$Q$64),"")</f>
        <v/>
      </c>
      <c r="W55" s="55" t="str">
        <f>IF(AND('Mapa final'!$AA$65="Muy Baja",'Mapa final'!$AC$65="Moderado"),CONCATENATE("R10C",'Mapa final'!$Q$65),"")</f>
        <v/>
      </c>
      <c r="X55" s="55" t="str">
        <f>IF(AND('Mapa final'!$AA$66="Muy Baja",'Mapa final'!$AC$66="Moderado"),CONCATENATE("R10C",'Mapa final'!$Q$66),"")</f>
        <v/>
      </c>
      <c r="Y55" s="55" t="str">
        <f>IF(AND('Mapa final'!$AA$67="Muy Baja",'Mapa final'!$AC$67="Moderado"),CONCATENATE("R10C",'Mapa final'!$Q$67),"")</f>
        <v/>
      </c>
      <c r="Z55" s="55" t="str">
        <f>IF(AND('Mapa final'!$AA$68="Muy Baja",'Mapa final'!$AC$68="Moderado"),CONCATENATE("R10C",'Mapa final'!$Q$68),"")</f>
        <v/>
      </c>
      <c r="AA55" s="56" t="str">
        <f>IF(AND('Mapa final'!$AA$69="Muy Baja",'Mapa final'!$AC$69="Moderado"),CONCATENATE("R10C",'Mapa final'!$Q$69),"")</f>
        <v/>
      </c>
      <c r="AB55" s="42" t="str">
        <f>IF(AND('Mapa final'!$AA$64="Muy Baja",'Mapa final'!$AC$64="Mayor"),CONCATENATE("R10C",'Mapa final'!$Q$64),"")</f>
        <v/>
      </c>
      <c r="AC55" s="43" t="str">
        <f>IF(AND('Mapa final'!$AA$65="Muy Baja",'Mapa final'!$AC$65="Mayor"),CONCATENATE("R10C",'Mapa final'!$Q$65),"")</f>
        <v/>
      </c>
      <c r="AD55" s="43" t="str">
        <f>IF(AND('Mapa final'!$AA$66="Muy Baja",'Mapa final'!$AC$66="Mayor"),CONCATENATE("R10C",'Mapa final'!$Q$66),"")</f>
        <v/>
      </c>
      <c r="AE55" s="43" t="str">
        <f>IF(AND('Mapa final'!$AA$67="Muy Baja",'Mapa final'!$AC$67="Mayor"),CONCATENATE("R10C",'Mapa final'!$Q$67),"")</f>
        <v/>
      </c>
      <c r="AF55" s="43" t="str">
        <f>IF(AND('Mapa final'!$AA$68="Muy Baja",'Mapa final'!$AC$68="Mayor"),CONCATENATE("R10C",'Mapa final'!$Q$68),"")</f>
        <v/>
      </c>
      <c r="AG55" s="44" t="str">
        <f>IF(AND('Mapa final'!$AA$69="Muy Baja",'Mapa final'!$AC$69="Mayor"),CONCATENATE("R10C",'Mapa final'!$Q$69),"")</f>
        <v/>
      </c>
      <c r="AH55" s="45" t="str">
        <f>IF(AND('Mapa final'!$AA$64="Muy Baja",'Mapa final'!$AC$64="Catastrófico"),CONCATENATE("R10C",'Mapa final'!$Q$64),"")</f>
        <v/>
      </c>
      <c r="AI55" s="46" t="str">
        <f>IF(AND('Mapa final'!$AA$65="Muy Baja",'Mapa final'!$AC$65="Catastrófico"),CONCATENATE("R10C",'Mapa final'!$Q$65),"")</f>
        <v/>
      </c>
      <c r="AJ55" s="46" t="str">
        <f>IF(AND('Mapa final'!$AA$66="Muy Baja",'Mapa final'!$AC$66="Catastrófico"),CONCATENATE("R10C",'Mapa final'!$Q$66),"")</f>
        <v/>
      </c>
      <c r="AK55" s="46" t="str">
        <f>IF(AND('Mapa final'!$AA$67="Muy Baja",'Mapa final'!$AC$67="Catastrófico"),CONCATENATE("R10C",'Mapa final'!$Q$67),"")</f>
        <v/>
      </c>
      <c r="AL55" s="46" t="str">
        <f>IF(AND('Mapa final'!$AA$68="Muy Baja",'Mapa final'!$AC$68="Catastrófico"),CONCATENATE("R10C",'Mapa final'!$Q$68),"")</f>
        <v/>
      </c>
      <c r="AM55" s="47" t="str">
        <f>IF(AND('Mapa final'!$AA$69="Muy Baja",'Mapa final'!$AC$69="Catastrófico"),CONCATENATE("R10C",'Mapa final'!$Q$69),"")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401" t="s">
        <v>106</v>
      </c>
      <c r="K56" s="402"/>
      <c r="L56" s="402"/>
      <c r="M56" s="402"/>
      <c r="N56" s="402"/>
      <c r="O56" s="419"/>
      <c r="P56" s="401" t="s">
        <v>105</v>
      </c>
      <c r="Q56" s="402"/>
      <c r="R56" s="402"/>
      <c r="S56" s="402"/>
      <c r="T56" s="402"/>
      <c r="U56" s="419"/>
      <c r="V56" s="401" t="s">
        <v>104</v>
      </c>
      <c r="W56" s="402"/>
      <c r="X56" s="402"/>
      <c r="Y56" s="402"/>
      <c r="Z56" s="402"/>
      <c r="AA56" s="419"/>
      <c r="AB56" s="401" t="s">
        <v>103</v>
      </c>
      <c r="AC56" s="440"/>
      <c r="AD56" s="402"/>
      <c r="AE56" s="402"/>
      <c r="AF56" s="402"/>
      <c r="AG56" s="419"/>
      <c r="AH56" s="401" t="s">
        <v>102</v>
      </c>
      <c r="AI56" s="402"/>
      <c r="AJ56" s="402"/>
      <c r="AK56" s="402"/>
      <c r="AL56" s="402"/>
      <c r="AM56" s="419"/>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405"/>
      <c r="K57" s="404"/>
      <c r="L57" s="404"/>
      <c r="M57" s="404"/>
      <c r="N57" s="404"/>
      <c r="O57" s="420"/>
      <c r="P57" s="405"/>
      <c r="Q57" s="404"/>
      <c r="R57" s="404"/>
      <c r="S57" s="404"/>
      <c r="T57" s="404"/>
      <c r="U57" s="420"/>
      <c r="V57" s="405"/>
      <c r="W57" s="404"/>
      <c r="X57" s="404"/>
      <c r="Y57" s="404"/>
      <c r="Z57" s="404"/>
      <c r="AA57" s="420"/>
      <c r="AB57" s="405"/>
      <c r="AC57" s="404"/>
      <c r="AD57" s="404"/>
      <c r="AE57" s="404"/>
      <c r="AF57" s="404"/>
      <c r="AG57" s="420"/>
      <c r="AH57" s="405"/>
      <c r="AI57" s="404"/>
      <c r="AJ57" s="404"/>
      <c r="AK57" s="404"/>
      <c r="AL57" s="404"/>
      <c r="AM57" s="420"/>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405"/>
      <c r="K58" s="404"/>
      <c r="L58" s="404"/>
      <c r="M58" s="404"/>
      <c r="N58" s="404"/>
      <c r="O58" s="420"/>
      <c r="P58" s="405"/>
      <c r="Q58" s="404"/>
      <c r="R58" s="404"/>
      <c r="S58" s="404"/>
      <c r="T58" s="404"/>
      <c r="U58" s="420"/>
      <c r="V58" s="405"/>
      <c r="W58" s="404"/>
      <c r="X58" s="404"/>
      <c r="Y58" s="404"/>
      <c r="Z58" s="404"/>
      <c r="AA58" s="420"/>
      <c r="AB58" s="405"/>
      <c r="AC58" s="404"/>
      <c r="AD58" s="404"/>
      <c r="AE58" s="404"/>
      <c r="AF58" s="404"/>
      <c r="AG58" s="420"/>
      <c r="AH58" s="405"/>
      <c r="AI58" s="404"/>
      <c r="AJ58" s="404"/>
      <c r="AK58" s="404"/>
      <c r="AL58" s="404"/>
      <c r="AM58" s="420"/>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405"/>
      <c r="K59" s="404"/>
      <c r="L59" s="404"/>
      <c r="M59" s="404"/>
      <c r="N59" s="404"/>
      <c r="O59" s="420"/>
      <c r="P59" s="405"/>
      <c r="Q59" s="404"/>
      <c r="R59" s="404"/>
      <c r="S59" s="404"/>
      <c r="T59" s="404"/>
      <c r="U59" s="420"/>
      <c r="V59" s="405"/>
      <c r="W59" s="404"/>
      <c r="X59" s="404"/>
      <c r="Y59" s="404"/>
      <c r="Z59" s="404"/>
      <c r="AA59" s="420"/>
      <c r="AB59" s="405"/>
      <c r="AC59" s="404"/>
      <c r="AD59" s="404"/>
      <c r="AE59" s="404"/>
      <c r="AF59" s="404"/>
      <c r="AG59" s="420"/>
      <c r="AH59" s="405"/>
      <c r="AI59" s="404"/>
      <c r="AJ59" s="404"/>
      <c r="AK59" s="404"/>
      <c r="AL59" s="404"/>
      <c r="AM59" s="420"/>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405"/>
      <c r="K60" s="404"/>
      <c r="L60" s="404"/>
      <c r="M60" s="404"/>
      <c r="N60" s="404"/>
      <c r="O60" s="420"/>
      <c r="P60" s="405"/>
      <c r="Q60" s="404"/>
      <c r="R60" s="404"/>
      <c r="S60" s="404"/>
      <c r="T60" s="404"/>
      <c r="U60" s="420"/>
      <c r="V60" s="405"/>
      <c r="W60" s="404"/>
      <c r="X60" s="404"/>
      <c r="Y60" s="404"/>
      <c r="Z60" s="404"/>
      <c r="AA60" s="420"/>
      <c r="AB60" s="405"/>
      <c r="AC60" s="404"/>
      <c r="AD60" s="404"/>
      <c r="AE60" s="404"/>
      <c r="AF60" s="404"/>
      <c r="AG60" s="420"/>
      <c r="AH60" s="405"/>
      <c r="AI60" s="404"/>
      <c r="AJ60" s="404"/>
      <c r="AK60" s="404"/>
      <c r="AL60" s="404"/>
      <c r="AM60" s="420"/>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406"/>
      <c r="K61" s="407"/>
      <c r="L61" s="407"/>
      <c r="M61" s="407"/>
      <c r="N61" s="407"/>
      <c r="O61" s="421"/>
      <c r="P61" s="406"/>
      <c r="Q61" s="407"/>
      <c r="R61" s="407"/>
      <c r="S61" s="407"/>
      <c r="T61" s="407"/>
      <c r="U61" s="421"/>
      <c r="V61" s="406"/>
      <c r="W61" s="407"/>
      <c r="X61" s="407"/>
      <c r="Y61" s="407"/>
      <c r="Z61" s="407"/>
      <c r="AA61" s="421"/>
      <c r="AB61" s="406"/>
      <c r="AC61" s="407"/>
      <c r="AD61" s="407"/>
      <c r="AE61" s="407"/>
      <c r="AF61" s="407"/>
      <c r="AG61" s="421"/>
      <c r="AH61" s="406"/>
      <c r="AI61" s="407"/>
      <c r="AJ61" s="407"/>
      <c r="AK61" s="407"/>
      <c r="AL61" s="407"/>
      <c r="AM61" s="421"/>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77" zoomScaleNormal="77"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441" t="s">
        <v>54</v>
      </c>
      <c r="C1" s="441"/>
      <c r="D1" s="441"/>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C15" sqref="C15"/>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442" t="s">
        <v>61</v>
      </c>
      <c r="C1" s="442"/>
      <c r="D1" s="442"/>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34" t="s">
        <v>55</v>
      </c>
      <c r="D3" s="134" t="s">
        <v>56</v>
      </c>
      <c r="E3" s="89"/>
      <c r="F3" s="89"/>
      <c r="G3" s="89"/>
      <c r="H3" s="89"/>
      <c r="I3" s="89"/>
      <c r="J3" s="89"/>
      <c r="K3" s="89"/>
      <c r="L3" s="89"/>
      <c r="M3" s="89"/>
      <c r="N3" s="89"/>
      <c r="O3" s="89"/>
      <c r="P3" s="89"/>
      <c r="Q3" s="89"/>
      <c r="R3" s="89"/>
      <c r="S3" s="89"/>
      <c r="T3" s="89"/>
      <c r="U3" s="89"/>
    </row>
    <row r="4" spans="1:21" ht="33.75" x14ac:dyDescent="0.25">
      <c r="A4" s="89" t="s">
        <v>81</v>
      </c>
      <c r="B4" s="135" t="s">
        <v>95</v>
      </c>
      <c r="C4" s="136" t="s">
        <v>204</v>
      </c>
      <c r="D4" s="137" t="s">
        <v>91</v>
      </c>
      <c r="E4" s="89"/>
      <c r="F4" s="89"/>
      <c r="G4" s="89"/>
      <c r="H4" s="89"/>
      <c r="I4" s="89"/>
      <c r="J4" s="89"/>
      <c r="K4" s="89"/>
      <c r="L4" s="89"/>
      <c r="M4" s="89"/>
      <c r="N4" s="89"/>
      <c r="O4" s="89"/>
      <c r="P4" s="89"/>
      <c r="Q4" s="89"/>
      <c r="R4" s="89"/>
      <c r="S4" s="89"/>
      <c r="T4" s="89"/>
      <c r="U4" s="89"/>
    </row>
    <row r="5" spans="1:21" ht="67.5" x14ac:dyDescent="0.25">
      <c r="A5" s="89" t="s">
        <v>82</v>
      </c>
      <c r="B5" s="138" t="s">
        <v>57</v>
      </c>
      <c r="C5" s="139" t="s">
        <v>205</v>
      </c>
      <c r="D5" s="140" t="s">
        <v>92</v>
      </c>
      <c r="E5" s="89"/>
      <c r="F5" s="89"/>
      <c r="G5" s="89"/>
      <c r="H5" s="89"/>
      <c r="I5" s="89"/>
      <c r="J5" s="89"/>
      <c r="K5" s="89"/>
      <c r="L5" s="89"/>
      <c r="M5" s="89"/>
      <c r="N5" s="89"/>
      <c r="O5" s="89"/>
      <c r="P5" s="89"/>
      <c r="Q5" s="89"/>
      <c r="R5" s="89"/>
      <c r="S5" s="89"/>
      <c r="T5" s="89"/>
      <c r="U5" s="89"/>
    </row>
    <row r="6" spans="1:21" ht="67.5" x14ac:dyDescent="0.25">
      <c r="A6" s="89" t="s">
        <v>79</v>
      </c>
      <c r="B6" s="141" t="s">
        <v>58</v>
      </c>
      <c r="C6" s="139" t="s">
        <v>209</v>
      </c>
      <c r="D6" s="140" t="s">
        <v>94</v>
      </c>
      <c r="E6" s="89"/>
      <c r="F6" s="89"/>
      <c r="G6" s="89"/>
      <c r="H6" s="89"/>
      <c r="I6" s="89"/>
      <c r="J6" s="89"/>
      <c r="K6" s="89"/>
      <c r="L6" s="89"/>
      <c r="M6" s="89"/>
      <c r="N6" s="89"/>
      <c r="O6" s="89"/>
      <c r="P6" s="89"/>
      <c r="Q6" s="89"/>
      <c r="R6" s="89"/>
      <c r="S6" s="89"/>
      <c r="T6" s="89"/>
      <c r="U6" s="89"/>
    </row>
    <row r="7" spans="1:21" ht="101.25" x14ac:dyDescent="0.25">
      <c r="A7" s="89" t="s">
        <v>7</v>
      </c>
      <c r="B7" s="142" t="s">
        <v>59</v>
      </c>
      <c r="C7" s="139" t="s">
        <v>210</v>
      </c>
      <c r="D7" s="140" t="s">
        <v>93</v>
      </c>
      <c r="E7" s="89"/>
      <c r="F7" s="89"/>
      <c r="G7" s="89"/>
      <c r="H7" s="89"/>
      <c r="I7" s="89"/>
      <c r="J7" s="89"/>
      <c r="K7" s="89"/>
      <c r="L7" s="89"/>
      <c r="M7" s="89"/>
      <c r="N7" s="89"/>
      <c r="O7" s="89"/>
      <c r="P7" s="89"/>
      <c r="Q7" s="89"/>
      <c r="R7" s="89"/>
      <c r="S7" s="89"/>
      <c r="T7" s="89"/>
      <c r="U7" s="89"/>
    </row>
    <row r="8" spans="1:21" ht="67.5" x14ac:dyDescent="0.25">
      <c r="A8" s="89" t="s">
        <v>83</v>
      </c>
      <c r="B8" s="143" t="s">
        <v>60</v>
      </c>
      <c r="C8" s="139" t="s">
        <v>206</v>
      </c>
      <c r="D8" s="140" t="s">
        <v>112</v>
      </c>
      <c r="E8" s="89"/>
      <c r="F8" s="89"/>
      <c r="G8" s="89"/>
      <c r="H8" s="89"/>
      <c r="I8" s="89"/>
      <c r="J8" s="89"/>
      <c r="K8" s="89"/>
      <c r="L8" s="89"/>
      <c r="M8" s="89"/>
      <c r="N8" s="89"/>
      <c r="O8" s="89"/>
      <c r="P8" s="89"/>
      <c r="Q8" s="89"/>
      <c r="R8" s="89"/>
      <c r="S8" s="89"/>
      <c r="T8" s="89"/>
      <c r="U8" s="89"/>
    </row>
    <row r="9" spans="1:21" s="23" customFormat="1" ht="20.25" x14ac:dyDescent="0.25">
      <c r="A9" s="87"/>
      <c r="B9" s="87"/>
      <c r="C9" s="148"/>
      <c r="D9" s="148"/>
      <c r="E9" s="87"/>
      <c r="F9" s="87"/>
      <c r="G9" s="87"/>
      <c r="H9" s="87"/>
      <c r="I9" s="87"/>
      <c r="J9" s="87"/>
      <c r="K9" s="87"/>
      <c r="L9" s="87"/>
      <c r="M9" s="87"/>
      <c r="N9" s="87"/>
      <c r="O9" s="87"/>
      <c r="P9" s="87"/>
      <c r="Q9" s="87"/>
      <c r="R9" s="87"/>
      <c r="S9" s="87"/>
      <c r="T9" s="87"/>
      <c r="U9" s="87"/>
    </row>
    <row r="10" spans="1:21" s="23" customFormat="1" ht="16.5" x14ac:dyDescent="0.25">
      <c r="A10" s="87"/>
      <c r="B10" s="149"/>
      <c r="C10" s="149"/>
      <c r="D10" s="149"/>
      <c r="E10" s="87"/>
      <c r="F10" s="87"/>
      <c r="G10" s="87"/>
      <c r="H10" s="87"/>
      <c r="I10" s="87"/>
      <c r="J10" s="87"/>
      <c r="K10" s="87"/>
      <c r="L10" s="87"/>
      <c r="M10" s="87"/>
      <c r="N10" s="87"/>
      <c r="O10" s="87"/>
      <c r="P10" s="87"/>
      <c r="Q10" s="87"/>
      <c r="R10" s="87"/>
      <c r="S10" s="87"/>
      <c r="T10" s="87"/>
      <c r="U10" s="87"/>
    </row>
    <row r="11" spans="1:21" s="23" customFormat="1" x14ac:dyDescent="0.25">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25">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48"/>
      <c r="D22" s="148"/>
      <c r="E22" s="87"/>
      <c r="F22" s="87"/>
      <c r="G22" s="87"/>
      <c r="H22" s="87"/>
      <c r="I22" s="87"/>
      <c r="J22" s="87"/>
      <c r="K22" s="87"/>
      <c r="L22" s="87"/>
      <c r="M22" s="87"/>
      <c r="N22" s="87"/>
      <c r="O22" s="87"/>
    </row>
    <row r="23" spans="1:15" s="23" customFormat="1" ht="20.25" x14ac:dyDescent="0.25">
      <c r="A23" s="87"/>
      <c r="B23" s="87"/>
      <c r="C23" s="148"/>
      <c r="D23" s="148"/>
      <c r="E23" s="87"/>
      <c r="F23" s="87"/>
      <c r="G23" s="87"/>
      <c r="H23" s="87"/>
      <c r="I23" s="87"/>
      <c r="J23" s="87"/>
      <c r="K23" s="87"/>
      <c r="L23" s="87"/>
      <c r="M23" s="87"/>
      <c r="N23" s="87"/>
      <c r="O23" s="87"/>
    </row>
    <row r="24" spans="1:15" s="23" customFormat="1" ht="20.25" x14ac:dyDescent="0.25">
      <c r="A24" s="87"/>
      <c r="B24" s="87"/>
      <c r="C24" s="148"/>
      <c r="D24" s="148"/>
      <c r="E24" s="87"/>
      <c r="F24" s="87"/>
      <c r="G24" s="87"/>
      <c r="H24" s="87"/>
      <c r="I24" s="87"/>
      <c r="J24" s="87"/>
      <c r="K24" s="87"/>
      <c r="L24" s="87"/>
      <c r="M24" s="87"/>
      <c r="N24" s="87"/>
      <c r="O24" s="87"/>
    </row>
    <row r="25" spans="1:15" s="23" customFormat="1" ht="20.25" x14ac:dyDescent="0.25">
      <c r="A25" s="87"/>
      <c r="B25" s="87"/>
      <c r="C25" s="148"/>
      <c r="D25" s="148"/>
      <c r="E25" s="87"/>
      <c r="F25" s="87"/>
      <c r="G25" s="87"/>
      <c r="H25" s="87"/>
      <c r="I25" s="87"/>
      <c r="J25" s="87"/>
      <c r="K25" s="87"/>
      <c r="L25" s="87"/>
      <c r="M25" s="87"/>
      <c r="N25" s="87"/>
      <c r="O25" s="87"/>
    </row>
    <row r="26" spans="1:15" s="23" customFormat="1" ht="20.25" x14ac:dyDescent="0.25">
      <c r="A26" s="87"/>
      <c r="B26" s="87"/>
      <c r="C26" s="148"/>
      <c r="D26" s="148"/>
      <c r="E26" s="87"/>
      <c r="F26" s="87"/>
      <c r="G26" s="87"/>
      <c r="H26" s="87"/>
      <c r="I26" s="87"/>
      <c r="J26" s="87"/>
      <c r="K26" s="87"/>
      <c r="L26" s="87"/>
      <c r="M26" s="87"/>
      <c r="N26" s="87"/>
      <c r="O26" s="87"/>
    </row>
    <row r="27" spans="1:15" s="23" customFormat="1" ht="20.25" x14ac:dyDescent="0.25">
      <c r="A27" s="87"/>
      <c r="B27" s="87"/>
      <c r="C27" s="148"/>
      <c r="D27" s="148"/>
      <c r="E27" s="87"/>
      <c r="F27" s="87"/>
      <c r="G27" s="87"/>
      <c r="H27" s="87"/>
      <c r="I27" s="87"/>
      <c r="J27" s="87"/>
      <c r="K27" s="87"/>
      <c r="L27" s="87"/>
      <c r="M27" s="87"/>
      <c r="N27" s="87"/>
      <c r="O27" s="87"/>
    </row>
    <row r="28" spans="1:15" s="23" customFormat="1" ht="20.25" x14ac:dyDescent="0.25">
      <c r="A28" s="87"/>
      <c r="B28" s="87"/>
      <c r="C28" s="148"/>
      <c r="D28" s="148"/>
      <c r="E28" s="87"/>
      <c r="F28" s="87"/>
      <c r="G28" s="87"/>
      <c r="H28" s="87"/>
      <c r="I28" s="87"/>
      <c r="J28" s="87"/>
      <c r="K28" s="87"/>
      <c r="L28" s="87"/>
      <c r="M28" s="87"/>
      <c r="N28" s="87"/>
      <c r="O28" s="87"/>
    </row>
    <row r="29" spans="1:15" s="23" customFormat="1" ht="20.25" x14ac:dyDescent="0.25">
      <c r="A29" s="87"/>
      <c r="B29" s="87"/>
      <c r="C29" s="148"/>
      <c r="D29" s="148"/>
      <c r="E29" s="87"/>
      <c r="F29" s="87"/>
      <c r="G29" s="87"/>
      <c r="H29" s="87"/>
      <c r="I29" s="87"/>
      <c r="J29" s="87"/>
      <c r="K29" s="87"/>
      <c r="L29" s="87"/>
      <c r="M29" s="87"/>
      <c r="N29" s="87"/>
      <c r="O29" s="87"/>
    </row>
    <row r="30" spans="1:15" s="23" customFormat="1" ht="20.25" x14ac:dyDescent="0.25">
      <c r="A30" s="87"/>
      <c r="B30" s="87"/>
      <c r="C30" s="148"/>
      <c r="D30" s="148"/>
      <c r="E30" s="87"/>
      <c r="F30" s="87"/>
      <c r="G30" s="87"/>
      <c r="H30" s="87"/>
      <c r="I30" s="87"/>
      <c r="J30" s="87"/>
      <c r="K30" s="87"/>
      <c r="L30" s="87"/>
      <c r="M30" s="87"/>
      <c r="N30" s="87"/>
      <c r="O30" s="87"/>
    </row>
    <row r="31" spans="1:15" s="23" customFormat="1" ht="20.25" x14ac:dyDescent="0.25">
      <c r="A31" s="87"/>
      <c r="B31" s="87"/>
      <c r="C31" s="148"/>
      <c r="D31" s="148"/>
      <c r="E31" s="87"/>
      <c r="F31" s="87"/>
      <c r="G31" s="87"/>
      <c r="H31" s="87"/>
      <c r="I31" s="87"/>
      <c r="J31" s="87"/>
      <c r="K31" s="87"/>
      <c r="L31" s="87"/>
      <c r="M31" s="87"/>
      <c r="N31" s="87"/>
      <c r="O31" s="87"/>
    </row>
    <row r="32" spans="1:15" s="23" customFormat="1" ht="20.25" x14ac:dyDescent="0.25">
      <c r="A32" s="87"/>
      <c r="B32" s="87"/>
      <c r="C32" s="148"/>
      <c r="D32" s="148"/>
      <c r="E32" s="87"/>
      <c r="F32" s="87"/>
      <c r="G32" s="87"/>
      <c r="H32" s="87"/>
      <c r="I32" s="87"/>
      <c r="J32" s="87"/>
      <c r="K32" s="87"/>
      <c r="L32" s="87"/>
      <c r="M32" s="87"/>
      <c r="N32" s="87"/>
      <c r="O32" s="87"/>
    </row>
    <row r="33" spans="1:15" s="23" customFormat="1" ht="20.25" x14ac:dyDescent="0.25">
      <c r="A33" s="87"/>
      <c r="B33" s="87"/>
      <c r="C33" s="148"/>
      <c r="D33" s="148"/>
      <c r="E33" s="87"/>
      <c r="F33" s="87"/>
      <c r="G33" s="87"/>
      <c r="H33" s="87"/>
      <c r="I33" s="87"/>
      <c r="J33" s="87"/>
      <c r="K33" s="87"/>
      <c r="L33" s="87"/>
      <c r="M33" s="87"/>
      <c r="N33" s="87"/>
      <c r="O33" s="87"/>
    </row>
    <row r="34" spans="1:15" s="23" customFormat="1" ht="20.25" x14ac:dyDescent="0.25">
      <c r="A34" s="87"/>
      <c r="B34" s="87"/>
      <c r="C34" s="148"/>
      <c r="D34" s="148"/>
      <c r="E34" s="87"/>
      <c r="F34" s="87"/>
      <c r="G34" s="87"/>
      <c r="H34" s="87"/>
      <c r="I34" s="87"/>
      <c r="J34" s="87"/>
      <c r="K34" s="87"/>
      <c r="L34" s="87"/>
      <c r="M34" s="87"/>
      <c r="N34" s="87"/>
      <c r="O34" s="87"/>
    </row>
    <row r="35" spans="1:15" s="23" customFormat="1" ht="20.25" x14ac:dyDescent="0.25">
      <c r="A35" s="87"/>
      <c r="B35" s="87"/>
      <c r="C35" s="148"/>
      <c r="D35" s="148"/>
      <c r="E35" s="87"/>
      <c r="F35" s="87"/>
      <c r="G35" s="87"/>
      <c r="H35" s="87"/>
      <c r="I35" s="87"/>
      <c r="J35" s="87"/>
      <c r="K35" s="87"/>
      <c r="L35" s="87"/>
      <c r="M35" s="87"/>
      <c r="N35" s="87"/>
      <c r="O35" s="87"/>
    </row>
    <row r="36" spans="1:15" s="23" customFormat="1" ht="20.25" x14ac:dyDescent="0.25">
      <c r="A36" s="87"/>
      <c r="B36" s="87"/>
      <c r="C36" s="148"/>
      <c r="D36" s="148"/>
      <c r="E36" s="87"/>
      <c r="F36" s="87"/>
      <c r="G36" s="87"/>
      <c r="H36" s="87"/>
      <c r="I36" s="87"/>
      <c r="J36" s="87"/>
      <c r="K36" s="87"/>
      <c r="L36" s="87"/>
      <c r="M36" s="87"/>
      <c r="N36" s="87"/>
      <c r="O36" s="87"/>
    </row>
    <row r="37" spans="1:15" s="23" customFormat="1" ht="20.25" x14ac:dyDescent="0.25">
      <c r="A37" s="87"/>
      <c r="B37" s="87"/>
      <c r="C37" s="148"/>
      <c r="D37" s="148"/>
      <c r="E37" s="87"/>
      <c r="F37" s="87"/>
      <c r="G37" s="87"/>
      <c r="H37" s="87"/>
      <c r="I37" s="87"/>
      <c r="J37" s="87"/>
      <c r="K37" s="87"/>
      <c r="L37" s="87"/>
      <c r="M37" s="87"/>
      <c r="N37" s="87"/>
      <c r="O37" s="87"/>
    </row>
    <row r="38" spans="1:15" s="23" customFormat="1" ht="20.25" x14ac:dyDescent="0.25">
      <c r="A38" s="87"/>
      <c r="B38" s="87"/>
      <c r="C38" s="148"/>
      <c r="D38" s="148"/>
      <c r="E38" s="87"/>
      <c r="F38" s="87"/>
      <c r="G38" s="87"/>
      <c r="H38" s="87"/>
      <c r="I38" s="87"/>
      <c r="J38" s="87"/>
      <c r="K38" s="87"/>
      <c r="L38" s="87"/>
      <c r="M38" s="87"/>
      <c r="N38" s="87"/>
      <c r="O38" s="87"/>
    </row>
    <row r="39" spans="1:15" s="23" customFormat="1" ht="20.25" x14ac:dyDescent="0.25">
      <c r="A39" s="87"/>
      <c r="B39" s="87"/>
      <c r="C39" s="148"/>
      <c r="D39" s="148"/>
      <c r="E39" s="87"/>
      <c r="F39" s="87"/>
      <c r="G39" s="87"/>
      <c r="H39" s="87"/>
      <c r="I39" s="87"/>
      <c r="J39" s="87"/>
      <c r="K39" s="87"/>
      <c r="L39" s="87"/>
      <c r="M39" s="87"/>
      <c r="N39" s="87"/>
      <c r="O39" s="87"/>
    </row>
    <row r="40" spans="1:15" s="23" customFormat="1" ht="20.25" x14ac:dyDescent="0.25">
      <c r="A40" s="87"/>
      <c r="B40" s="87"/>
      <c r="C40" s="148"/>
      <c r="D40" s="148"/>
      <c r="E40" s="87"/>
      <c r="F40" s="87"/>
      <c r="G40" s="87"/>
      <c r="H40" s="87"/>
      <c r="I40" s="87"/>
      <c r="J40" s="87"/>
      <c r="K40" s="87"/>
      <c r="L40" s="87"/>
      <c r="M40" s="87"/>
      <c r="N40" s="87"/>
      <c r="O40" s="87"/>
    </row>
    <row r="41" spans="1:15" s="23" customFormat="1" ht="20.25" x14ac:dyDescent="0.25">
      <c r="A41" s="87"/>
      <c r="B41" s="87"/>
      <c r="C41" s="148"/>
      <c r="D41" s="148"/>
      <c r="E41" s="87"/>
      <c r="F41" s="87"/>
      <c r="G41" s="87"/>
      <c r="H41" s="87"/>
      <c r="I41" s="87"/>
      <c r="J41" s="87"/>
      <c r="K41" s="87"/>
      <c r="L41" s="87"/>
      <c r="M41" s="87"/>
      <c r="N41" s="87"/>
      <c r="O41" s="87"/>
    </row>
    <row r="42" spans="1:15" s="23" customFormat="1" ht="20.25" x14ac:dyDescent="0.25">
      <c r="A42" s="87"/>
      <c r="B42" s="87"/>
      <c r="C42" s="148"/>
      <c r="D42" s="148"/>
      <c r="E42" s="87"/>
      <c r="F42" s="87"/>
      <c r="G42" s="87"/>
      <c r="H42" s="87"/>
      <c r="I42" s="87"/>
      <c r="J42" s="87"/>
      <c r="K42" s="87"/>
      <c r="L42" s="87"/>
      <c r="M42" s="87"/>
      <c r="N42" s="87"/>
      <c r="O42" s="87"/>
    </row>
    <row r="43" spans="1:15" s="23" customFormat="1" ht="20.25" x14ac:dyDescent="0.25">
      <c r="A43" s="87"/>
      <c r="B43" s="87"/>
      <c r="C43" s="148"/>
      <c r="D43" s="148"/>
      <c r="E43" s="87"/>
      <c r="F43" s="87"/>
      <c r="G43" s="87"/>
      <c r="H43" s="87"/>
      <c r="I43" s="87"/>
      <c r="J43" s="87"/>
      <c r="K43" s="87"/>
      <c r="L43" s="87"/>
      <c r="M43" s="87"/>
      <c r="N43" s="87"/>
      <c r="O43" s="87"/>
    </row>
    <row r="44" spans="1:15" s="23" customFormat="1" ht="20.25" x14ac:dyDescent="0.25">
      <c r="A44" s="87"/>
      <c r="B44" s="87"/>
      <c r="C44" s="148"/>
      <c r="D44" s="148"/>
      <c r="E44" s="87"/>
      <c r="F44" s="87"/>
      <c r="G44" s="87"/>
      <c r="H44" s="87"/>
      <c r="I44" s="87"/>
      <c r="J44" s="87"/>
      <c r="K44" s="87"/>
      <c r="L44" s="87"/>
      <c r="M44" s="87"/>
      <c r="N44" s="87"/>
      <c r="O44" s="87"/>
    </row>
    <row r="45" spans="1:15" s="23" customFormat="1" ht="20.25" x14ac:dyDescent="0.25">
      <c r="A45" s="87"/>
      <c r="B45" s="87"/>
      <c r="C45" s="148"/>
      <c r="D45" s="148"/>
      <c r="E45" s="87"/>
      <c r="F45" s="87"/>
      <c r="G45" s="87"/>
      <c r="H45" s="87"/>
      <c r="I45" s="87"/>
      <c r="J45" s="87"/>
      <c r="K45" s="87"/>
      <c r="L45" s="87"/>
      <c r="M45" s="87"/>
      <c r="N45" s="87"/>
      <c r="O45" s="87"/>
    </row>
    <row r="46" spans="1:15" s="23" customFormat="1" ht="20.25" x14ac:dyDescent="0.25">
      <c r="A46" s="87"/>
      <c r="B46" s="87"/>
      <c r="C46" s="148"/>
      <c r="D46" s="148"/>
      <c r="E46" s="87"/>
      <c r="F46" s="87"/>
      <c r="G46" s="87"/>
      <c r="H46" s="87"/>
      <c r="I46" s="87"/>
      <c r="J46" s="87"/>
      <c r="K46" s="87"/>
      <c r="L46" s="87"/>
      <c r="M46" s="87"/>
      <c r="N46" s="87"/>
      <c r="O46" s="87"/>
    </row>
    <row r="47" spans="1:15" s="23" customFormat="1" ht="20.25" x14ac:dyDescent="0.25">
      <c r="A47" s="87"/>
      <c r="B47" s="87"/>
      <c r="C47" s="148"/>
      <c r="D47" s="148"/>
      <c r="E47" s="87"/>
      <c r="F47" s="87"/>
      <c r="G47" s="87"/>
      <c r="H47" s="87"/>
      <c r="I47" s="87"/>
      <c r="J47" s="87"/>
      <c r="K47" s="87"/>
      <c r="L47" s="87"/>
      <c r="M47" s="87"/>
      <c r="N47" s="87"/>
      <c r="O47" s="87"/>
    </row>
    <row r="48" spans="1:15" s="23" customFormat="1" ht="20.25" x14ac:dyDescent="0.25">
      <c r="A48" s="87"/>
      <c r="B48" s="87"/>
      <c r="C48" s="148"/>
      <c r="D48" s="148"/>
      <c r="E48" s="87"/>
      <c r="F48" s="87"/>
      <c r="G48" s="87"/>
      <c r="H48" s="87"/>
      <c r="I48" s="87"/>
      <c r="J48" s="87"/>
      <c r="K48" s="87"/>
      <c r="L48" s="87"/>
      <c r="M48" s="87"/>
      <c r="N48" s="87"/>
      <c r="O48" s="87"/>
    </row>
    <row r="49" spans="1:15" s="23" customFormat="1" ht="20.25" x14ac:dyDescent="0.25">
      <c r="A49" s="87"/>
      <c r="B49" s="87"/>
      <c r="C49" s="148"/>
      <c r="D49" s="148"/>
      <c r="E49" s="87"/>
      <c r="F49" s="87"/>
      <c r="G49" s="87"/>
      <c r="H49" s="87"/>
      <c r="I49" s="87"/>
      <c r="J49" s="87"/>
      <c r="K49" s="87"/>
      <c r="L49" s="87"/>
      <c r="M49" s="87"/>
      <c r="N49" s="87"/>
      <c r="O49" s="87"/>
    </row>
    <row r="50" spans="1:15" s="23" customFormat="1" ht="20.25" x14ac:dyDescent="0.25">
      <c r="A50" s="87"/>
      <c r="B50" s="87"/>
      <c r="C50" s="148"/>
      <c r="D50" s="148"/>
      <c r="E50" s="87"/>
      <c r="F50" s="87"/>
      <c r="G50" s="87"/>
      <c r="H50" s="87"/>
      <c r="I50" s="87"/>
      <c r="J50" s="87"/>
      <c r="K50" s="87"/>
      <c r="L50" s="87"/>
      <c r="M50" s="87"/>
      <c r="N50" s="87"/>
      <c r="O50" s="87"/>
    </row>
    <row r="51" spans="1:15" s="23" customFormat="1" ht="20.25" x14ac:dyDescent="0.25">
      <c r="A51" s="87"/>
      <c r="B51" s="87"/>
      <c r="C51" s="148"/>
      <c r="D51" s="148"/>
      <c r="E51" s="87"/>
      <c r="F51" s="87"/>
      <c r="G51" s="87"/>
      <c r="H51" s="87"/>
      <c r="I51" s="87"/>
      <c r="J51" s="87"/>
      <c r="K51" s="87"/>
      <c r="L51" s="87"/>
      <c r="M51" s="87"/>
      <c r="N51" s="87"/>
      <c r="O51" s="87"/>
    </row>
    <row r="52" spans="1:15" s="23" customFormat="1" ht="20.25" x14ac:dyDescent="0.25">
      <c r="A52" s="87"/>
      <c r="C52" s="150"/>
      <c r="D52" s="150"/>
    </row>
    <row r="53" spans="1:15" s="23" customFormat="1" ht="20.25" x14ac:dyDescent="0.25">
      <c r="A53" s="87"/>
      <c r="C53" s="150"/>
      <c r="D53" s="150"/>
    </row>
    <row r="54" spans="1:15" s="23" customFormat="1" ht="20.25" x14ac:dyDescent="0.25">
      <c r="A54" s="87"/>
      <c r="C54" s="150"/>
      <c r="D54" s="150"/>
    </row>
    <row r="55" spans="1:15" s="23" customFormat="1" ht="20.25" x14ac:dyDescent="0.25">
      <c r="A55" s="87"/>
      <c r="C55" s="150"/>
      <c r="D55" s="150"/>
    </row>
    <row r="56" spans="1:15" s="23" customFormat="1" ht="20.25" x14ac:dyDescent="0.25">
      <c r="A56" s="87"/>
      <c r="C56" s="150"/>
      <c r="D56" s="150"/>
    </row>
    <row r="57" spans="1:15" s="23" customFormat="1" ht="20.25" x14ac:dyDescent="0.25">
      <c r="A57" s="87"/>
      <c r="C57" s="150"/>
      <c r="D57" s="150"/>
    </row>
    <row r="58" spans="1:15" s="23" customFormat="1" ht="20.25" x14ac:dyDescent="0.25">
      <c r="A58" s="87"/>
      <c r="C58" s="150"/>
      <c r="D58" s="150"/>
    </row>
    <row r="59" spans="1:15" s="23" customFormat="1" ht="20.25" x14ac:dyDescent="0.25">
      <c r="A59" s="87"/>
      <c r="C59" s="150"/>
      <c r="D59" s="150"/>
    </row>
    <row r="60" spans="1:15" s="23" customFormat="1" ht="20.25" x14ac:dyDescent="0.25">
      <c r="A60" s="87"/>
      <c r="C60" s="150"/>
      <c r="D60" s="150"/>
    </row>
    <row r="61" spans="1:15" s="23" customFormat="1" ht="20.25" x14ac:dyDescent="0.25">
      <c r="A61" s="87"/>
      <c r="C61" s="150"/>
      <c r="D61" s="150"/>
    </row>
    <row r="62" spans="1:15" s="23" customFormat="1" ht="20.25" x14ac:dyDescent="0.25">
      <c r="A62" s="87"/>
      <c r="C62" s="150"/>
      <c r="D62" s="150"/>
    </row>
    <row r="63" spans="1:15" s="23" customFormat="1" ht="20.25" x14ac:dyDescent="0.25">
      <c r="A63" s="87"/>
      <c r="C63" s="150"/>
      <c r="D63" s="150"/>
    </row>
    <row r="64" spans="1:15" s="23" customFormat="1" ht="20.25" x14ac:dyDescent="0.25">
      <c r="A64" s="87"/>
      <c r="C64" s="150"/>
      <c r="D64" s="150"/>
    </row>
    <row r="65" spans="1:4" s="23" customFormat="1" ht="20.25" x14ac:dyDescent="0.25">
      <c r="A65" s="87"/>
      <c r="C65" s="150"/>
      <c r="D65" s="150"/>
    </row>
    <row r="66" spans="1:4" s="23" customFormat="1" ht="20.25" x14ac:dyDescent="0.25">
      <c r="A66" s="87"/>
      <c r="C66" s="150"/>
      <c r="D66" s="150"/>
    </row>
    <row r="67" spans="1:4" s="23" customFormat="1" ht="20.25" x14ac:dyDescent="0.25">
      <c r="A67" s="87"/>
      <c r="C67" s="150"/>
      <c r="D67" s="150"/>
    </row>
    <row r="68" spans="1:4" s="23" customFormat="1" ht="20.25" x14ac:dyDescent="0.25">
      <c r="A68" s="87"/>
      <c r="C68" s="150"/>
      <c r="D68" s="150"/>
    </row>
    <row r="69" spans="1:4" s="23" customFormat="1" ht="20.25" x14ac:dyDescent="0.25">
      <c r="A69" s="87"/>
      <c r="C69" s="150"/>
      <c r="D69" s="150"/>
    </row>
    <row r="70" spans="1:4" s="23" customFormat="1" ht="20.25" x14ac:dyDescent="0.25">
      <c r="A70" s="87"/>
      <c r="C70" s="150"/>
      <c r="D70" s="150"/>
    </row>
    <row r="71" spans="1:4" s="23" customFormat="1" ht="20.25" x14ac:dyDescent="0.25">
      <c r="A71" s="87"/>
      <c r="C71" s="150"/>
      <c r="D71" s="150"/>
    </row>
    <row r="72" spans="1:4" s="23" customFormat="1" ht="20.25" x14ac:dyDescent="0.25">
      <c r="A72" s="87"/>
      <c r="C72" s="150"/>
      <c r="D72" s="150"/>
    </row>
    <row r="73" spans="1:4" s="23" customFormat="1" ht="20.25" x14ac:dyDescent="0.25">
      <c r="A73" s="87"/>
      <c r="C73" s="150"/>
      <c r="D73" s="150"/>
    </row>
    <row r="74" spans="1:4" s="23" customFormat="1" ht="20.25" x14ac:dyDescent="0.25">
      <c r="A74" s="87"/>
      <c r="C74" s="150"/>
      <c r="D74" s="150"/>
    </row>
    <row r="75" spans="1:4" s="23" customFormat="1" ht="20.25" x14ac:dyDescent="0.25">
      <c r="A75" s="87"/>
      <c r="C75" s="150"/>
      <c r="D75" s="150"/>
    </row>
    <row r="76" spans="1:4" s="23" customFormat="1" ht="20.25" x14ac:dyDescent="0.25">
      <c r="A76" s="87"/>
      <c r="C76" s="150"/>
      <c r="D76" s="150"/>
    </row>
    <row r="77" spans="1:4" s="23" customFormat="1" ht="20.25" x14ac:dyDescent="0.25">
      <c r="A77" s="87"/>
      <c r="C77" s="150"/>
      <c r="D77" s="150"/>
    </row>
    <row r="78" spans="1:4" s="23" customFormat="1" ht="20.25" x14ac:dyDescent="0.25">
      <c r="A78" s="87"/>
      <c r="C78" s="150"/>
      <c r="D78" s="150"/>
    </row>
    <row r="79" spans="1:4" s="23" customFormat="1" ht="20.25" x14ac:dyDescent="0.25">
      <c r="A79" s="87"/>
      <c r="C79" s="150"/>
      <c r="D79" s="150"/>
    </row>
    <row r="80" spans="1:4" s="23" customFormat="1" ht="20.25" x14ac:dyDescent="0.25">
      <c r="A80" s="87"/>
      <c r="C80" s="150"/>
      <c r="D80" s="150"/>
    </row>
    <row r="81" spans="1:4" s="23" customFormat="1" ht="20.25" x14ac:dyDescent="0.25">
      <c r="A81" s="87"/>
      <c r="C81" s="150"/>
      <c r="D81" s="150"/>
    </row>
    <row r="82" spans="1:4" s="23" customFormat="1" ht="20.25" x14ac:dyDescent="0.25">
      <c r="A82" s="87"/>
      <c r="C82" s="150"/>
      <c r="D82" s="150"/>
    </row>
    <row r="83" spans="1:4" s="23" customFormat="1" ht="20.25" x14ac:dyDescent="0.25">
      <c r="A83" s="87"/>
      <c r="C83" s="150"/>
      <c r="D83" s="150"/>
    </row>
    <row r="84" spans="1:4" s="23" customFormat="1" ht="20.25" x14ac:dyDescent="0.25">
      <c r="A84" s="87"/>
      <c r="C84" s="150"/>
      <c r="D84" s="150"/>
    </row>
    <row r="85" spans="1:4" s="23" customFormat="1" ht="20.25" x14ac:dyDescent="0.25">
      <c r="A85" s="87"/>
      <c r="C85" s="150"/>
      <c r="D85" s="150"/>
    </row>
    <row r="86" spans="1:4" s="23" customFormat="1" ht="20.25" x14ac:dyDescent="0.25">
      <c r="A86" s="87"/>
      <c r="C86" s="150"/>
      <c r="D86" s="150"/>
    </row>
    <row r="87" spans="1:4" s="23" customFormat="1" ht="20.25" x14ac:dyDescent="0.25">
      <c r="A87" s="87"/>
      <c r="C87" s="150"/>
      <c r="D87" s="150"/>
    </row>
    <row r="88" spans="1:4" s="23" customFormat="1" ht="20.25" x14ac:dyDescent="0.25">
      <c r="A88" s="87"/>
      <c r="C88" s="150"/>
      <c r="D88" s="150"/>
    </row>
    <row r="89" spans="1:4" s="23" customFormat="1" ht="20.25" x14ac:dyDescent="0.25">
      <c r="A89" s="87"/>
      <c r="C89" s="150"/>
      <c r="D89" s="150"/>
    </row>
    <row r="90" spans="1:4" s="23" customFormat="1" ht="20.25" x14ac:dyDescent="0.25">
      <c r="A90" s="87"/>
      <c r="C90" s="150"/>
      <c r="D90" s="150"/>
    </row>
    <row r="91" spans="1:4" s="23" customFormat="1" ht="20.25" x14ac:dyDescent="0.25">
      <c r="A91" s="87"/>
      <c r="C91" s="150"/>
      <c r="D91" s="150"/>
    </row>
    <row r="92" spans="1:4" s="23" customFormat="1" ht="20.25" x14ac:dyDescent="0.25">
      <c r="A92" s="87"/>
      <c r="C92" s="150"/>
      <c r="D92" s="150"/>
    </row>
    <row r="93" spans="1:4" s="23" customFormat="1" ht="20.25" x14ac:dyDescent="0.25">
      <c r="A93" s="87"/>
      <c r="C93" s="150"/>
      <c r="D93" s="150"/>
    </row>
    <row r="94" spans="1:4" s="23" customFormat="1" ht="20.25" x14ac:dyDescent="0.25">
      <c r="A94" s="87"/>
      <c r="C94" s="150"/>
      <c r="D94" s="150"/>
    </row>
    <row r="95" spans="1:4" s="23" customFormat="1" ht="20.25" x14ac:dyDescent="0.25">
      <c r="A95" s="87"/>
      <c r="C95" s="150"/>
      <c r="D95" s="150"/>
    </row>
    <row r="96" spans="1:4" s="23" customFormat="1" ht="20.25" x14ac:dyDescent="0.25">
      <c r="A96" s="87"/>
      <c r="C96" s="150"/>
      <c r="D96" s="150"/>
    </row>
    <row r="97" spans="1:4" s="23" customFormat="1" ht="20.25" x14ac:dyDescent="0.25">
      <c r="A97" s="87"/>
      <c r="C97" s="150"/>
      <c r="D97" s="150"/>
    </row>
    <row r="98" spans="1:4" s="23" customFormat="1" ht="20.25" x14ac:dyDescent="0.25">
      <c r="A98" s="87"/>
      <c r="C98" s="150"/>
      <c r="D98" s="150"/>
    </row>
    <row r="99" spans="1:4" s="23" customFormat="1" ht="20.25" x14ac:dyDescent="0.25">
      <c r="A99" s="87"/>
      <c r="C99" s="150"/>
      <c r="D99" s="150"/>
    </row>
    <row r="100" spans="1:4" s="23" customFormat="1" ht="20.25" x14ac:dyDescent="0.25">
      <c r="A100" s="87"/>
      <c r="C100" s="150"/>
      <c r="D100" s="150"/>
    </row>
    <row r="101" spans="1:4" s="23" customFormat="1" ht="20.25" x14ac:dyDescent="0.25">
      <c r="A101" s="87"/>
      <c r="C101" s="150"/>
      <c r="D101" s="150"/>
    </row>
    <row r="102" spans="1:4" s="23" customFormat="1" ht="20.25" x14ac:dyDescent="0.25">
      <c r="A102" s="87"/>
      <c r="C102" s="150"/>
      <c r="D102" s="150"/>
    </row>
    <row r="103" spans="1:4" s="23" customFormat="1" ht="20.25" x14ac:dyDescent="0.25">
      <c r="A103" s="87"/>
      <c r="C103" s="150"/>
      <c r="D103" s="150"/>
    </row>
    <row r="104" spans="1:4" s="23" customFormat="1" ht="20.25" x14ac:dyDescent="0.25">
      <c r="A104" s="87"/>
      <c r="C104" s="150"/>
      <c r="D104" s="150"/>
    </row>
    <row r="105" spans="1:4" s="23" customFormat="1" ht="20.25" x14ac:dyDescent="0.25">
      <c r="A105" s="87"/>
      <c r="C105" s="150"/>
      <c r="D105" s="150"/>
    </row>
    <row r="106" spans="1:4" s="23" customFormat="1" ht="20.25" x14ac:dyDescent="0.25">
      <c r="A106" s="87"/>
      <c r="C106" s="150"/>
      <c r="D106" s="150"/>
    </row>
    <row r="107" spans="1:4" s="23" customFormat="1" ht="20.25" x14ac:dyDescent="0.25">
      <c r="A107" s="87"/>
      <c r="C107" s="150"/>
      <c r="D107" s="150"/>
    </row>
    <row r="108" spans="1:4" s="23" customFormat="1" ht="20.25" x14ac:dyDescent="0.25">
      <c r="A108" s="87"/>
      <c r="C108" s="150"/>
      <c r="D108" s="150"/>
    </row>
    <row r="109" spans="1:4" s="23" customFormat="1" ht="20.25" x14ac:dyDescent="0.25">
      <c r="A109" s="87"/>
      <c r="C109" s="150"/>
      <c r="D109" s="150"/>
    </row>
    <row r="110" spans="1:4" s="23" customFormat="1" ht="20.25" x14ac:dyDescent="0.25">
      <c r="A110" s="87"/>
      <c r="C110" s="150"/>
      <c r="D110" s="150"/>
    </row>
    <row r="111" spans="1:4" s="23" customFormat="1" ht="20.25" x14ac:dyDescent="0.25">
      <c r="A111" s="87"/>
      <c r="C111" s="150"/>
      <c r="D111" s="150"/>
    </row>
    <row r="112" spans="1:4" s="23" customFormat="1" ht="20.25" x14ac:dyDescent="0.25">
      <c r="A112" s="87"/>
      <c r="C112" s="150"/>
      <c r="D112" s="150"/>
    </row>
    <row r="113" spans="1:4" s="23" customFormat="1" ht="20.25" x14ac:dyDescent="0.25">
      <c r="A113" s="87"/>
      <c r="C113" s="150"/>
      <c r="D113" s="150"/>
    </row>
    <row r="114" spans="1:4" s="23" customFormat="1" ht="20.25" x14ac:dyDescent="0.25">
      <c r="A114" s="87"/>
      <c r="C114" s="150"/>
      <c r="D114" s="150"/>
    </row>
    <row r="115" spans="1:4" s="23" customFormat="1" ht="20.25" x14ac:dyDescent="0.25">
      <c r="A115" s="87"/>
      <c r="C115" s="150"/>
      <c r="D115" s="150"/>
    </row>
    <row r="116" spans="1:4" s="23" customFormat="1" ht="20.25" x14ac:dyDescent="0.25">
      <c r="A116" s="87"/>
      <c r="C116" s="150"/>
      <c r="D116" s="150"/>
    </row>
    <row r="117" spans="1:4" s="23" customFormat="1" ht="20.25" x14ac:dyDescent="0.25">
      <c r="A117" s="87"/>
      <c r="C117" s="150"/>
      <c r="D117" s="150"/>
    </row>
    <row r="118" spans="1:4" s="23" customFormat="1" ht="20.25" x14ac:dyDescent="0.25">
      <c r="A118" s="87"/>
      <c r="C118" s="150"/>
      <c r="D118" s="150"/>
    </row>
    <row r="119" spans="1:4" s="23" customFormat="1" ht="20.25" x14ac:dyDescent="0.25">
      <c r="A119" s="87"/>
      <c r="C119" s="150"/>
      <c r="D119" s="150"/>
    </row>
    <row r="120" spans="1:4" s="23" customFormat="1" ht="20.25" x14ac:dyDescent="0.25">
      <c r="A120" s="87"/>
      <c r="C120" s="150"/>
      <c r="D120" s="150"/>
    </row>
    <row r="121" spans="1:4" s="23" customFormat="1" ht="20.25" x14ac:dyDescent="0.25">
      <c r="A121" s="87"/>
      <c r="C121" s="150"/>
      <c r="D121" s="150"/>
    </row>
    <row r="122" spans="1:4" s="23" customFormat="1" ht="20.25" x14ac:dyDescent="0.25">
      <c r="A122" s="87"/>
      <c r="C122" s="150"/>
      <c r="D122" s="150"/>
    </row>
    <row r="123" spans="1:4" s="23" customFormat="1" ht="20.25" x14ac:dyDescent="0.25">
      <c r="A123" s="87"/>
      <c r="C123" s="150"/>
      <c r="D123" s="150"/>
    </row>
    <row r="124" spans="1:4" s="23" customFormat="1" ht="20.25" x14ac:dyDescent="0.25">
      <c r="A124" s="87"/>
      <c r="C124" s="150"/>
      <c r="D124" s="150"/>
    </row>
    <row r="125" spans="1:4" s="23" customFormat="1" ht="20.25" x14ac:dyDescent="0.25">
      <c r="A125" s="87"/>
      <c r="C125" s="150"/>
      <c r="D125" s="150"/>
    </row>
    <row r="126" spans="1:4" s="23" customFormat="1" ht="20.25" x14ac:dyDescent="0.25">
      <c r="A126" s="87"/>
      <c r="C126" s="150"/>
      <c r="D126" s="150"/>
    </row>
    <row r="127" spans="1:4" s="23" customFormat="1" ht="20.25" x14ac:dyDescent="0.25">
      <c r="A127" s="87"/>
      <c r="C127" s="150"/>
      <c r="D127" s="150"/>
    </row>
    <row r="128" spans="1:4" s="23" customFormat="1" ht="20.25" x14ac:dyDescent="0.25">
      <c r="A128" s="87"/>
      <c r="C128" s="150"/>
      <c r="D128" s="150"/>
    </row>
    <row r="129" spans="1:4" s="23" customFormat="1" ht="20.25" x14ac:dyDescent="0.25">
      <c r="A129" s="87"/>
      <c r="C129" s="150"/>
      <c r="D129" s="150"/>
    </row>
    <row r="130" spans="1:4" s="23" customFormat="1" ht="20.25" x14ac:dyDescent="0.25">
      <c r="A130" s="87"/>
      <c r="C130" s="150"/>
      <c r="D130" s="150"/>
    </row>
    <row r="131" spans="1:4" s="23" customFormat="1" ht="20.25" x14ac:dyDescent="0.25">
      <c r="A131" s="87"/>
      <c r="C131" s="150"/>
      <c r="D131" s="150"/>
    </row>
    <row r="132" spans="1:4" s="23" customFormat="1" ht="20.25" x14ac:dyDescent="0.25">
      <c r="A132" s="87"/>
      <c r="C132" s="150"/>
      <c r="D132" s="150"/>
    </row>
    <row r="133" spans="1:4" s="23" customFormat="1" ht="20.25" x14ac:dyDescent="0.25">
      <c r="A133" s="87"/>
      <c r="C133" s="150"/>
      <c r="D133" s="150"/>
    </row>
    <row r="134" spans="1:4" s="23" customFormat="1" ht="20.25" x14ac:dyDescent="0.25">
      <c r="A134" s="87"/>
      <c r="C134" s="150"/>
      <c r="D134" s="150"/>
    </row>
    <row r="135" spans="1:4" s="23" customFormat="1" ht="20.25" x14ac:dyDescent="0.25">
      <c r="A135" s="87"/>
      <c r="C135" s="150"/>
      <c r="D135" s="150"/>
    </row>
    <row r="136" spans="1:4" s="23" customFormat="1" ht="20.25" x14ac:dyDescent="0.25">
      <c r="A136" s="87"/>
      <c r="C136" s="150"/>
      <c r="D136" s="150"/>
    </row>
    <row r="137" spans="1:4" s="23" customFormat="1" ht="20.25" x14ac:dyDescent="0.25">
      <c r="A137" s="87"/>
      <c r="C137" s="150"/>
      <c r="D137" s="150"/>
    </row>
    <row r="138" spans="1:4" s="23" customFormat="1" ht="20.25" x14ac:dyDescent="0.25">
      <c r="A138" s="87"/>
      <c r="C138" s="150"/>
      <c r="D138" s="150"/>
    </row>
    <row r="139" spans="1:4" s="23" customFormat="1" ht="20.25" x14ac:dyDescent="0.25">
      <c r="A139" s="87"/>
      <c r="C139" s="150"/>
      <c r="D139" s="150"/>
    </row>
    <row r="140" spans="1:4" s="23" customFormat="1" ht="20.25" x14ac:dyDescent="0.25">
      <c r="A140" s="87"/>
      <c r="C140" s="150"/>
      <c r="D140" s="150"/>
    </row>
    <row r="141" spans="1:4" s="23" customFormat="1" ht="20.25" x14ac:dyDescent="0.25">
      <c r="A141" s="87"/>
      <c r="C141" s="150"/>
      <c r="D141" s="150"/>
    </row>
    <row r="142" spans="1:4" s="23" customFormat="1" ht="20.25" x14ac:dyDescent="0.25">
      <c r="A142" s="87"/>
      <c r="C142" s="150"/>
      <c r="D142" s="150"/>
    </row>
    <row r="143" spans="1:4" s="23" customFormat="1" ht="20.25" x14ac:dyDescent="0.25">
      <c r="A143" s="87"/>
      <c r="C143" s="150"/>
      <c r="D143" s="150"/>
    </row>
    <row r="144" spans="1:4" s="23" customFormat="1" ht="20.25" x14ac:dyDescent="0.25">
      <c r="A144" s="87"/>
      <c r="C144" s="150"/>
      <c r="D144" s="150"/>
    </row>
    <row r="145" spans="1:4" s="23" customFormat="1" ht="20.25" x14ac:dyDescent="0.25">
      <c r="A145" s="87"/>
      <c r="C145" s="150"/>
      <c r="D145" s="150"/>
    </row>
    <row r="146" spans="1:4" s="23" customFormat="1" ht="20.25" x14ac:dyDescent="0.25">
      <c r="A146" s="87"/>
      <c r="C146" s="150"/>
      <c r="D146" s="150"/>
    </row>
    <row r="147" spans="1:4" s="23" customFormat="1" ht="20.25" x14ac:dyDescent="0.25">
      <c r="A147" s="87"/>
      <c r="C147" s="150"/>
      <c r="D147" s="150"/>
    </row>
    <row r="148" spans="1:4" s="23" customFormat="1" ht="20.25" x14ac:dyDescent="0.25">
      <c r="A148" s="87"/>
      <c r="C148" s="150"/>
      <c r="D148" s="150"/>
    </row>
    <row r="149" spans="1:4" s="23" customFormat="1" ht="20.25" x14ac:dyDescent="0.25">
      <c r="A149" s="87"/>
      <c r="C149" s="150"/>
      <c r="D149" s="150"/>
    </row>
    <row r="150" spans="1:4" s="23" customFormat="1" ht="20.25" x14ac:dyDescent="0.25">
      <c r="A150" s="87"/>
      <c r="C150" s="150"/>
      <c r="D150" s="150"/>
    </row>
    <row r="151" spans="1:4" s="23" customFormat="1" ht="20.25" x14ac:dyDescent="0.25">
      <c r="A151" s="87"/>
      <c r="C151" s="150"/>
      <c r="D151" s="150"/>
    </row>
    <row r="152" spans="1:4" s="23" customFormat="1" ht="20.25" x14ac:dyDescent="0.25">
      <c r="A152" s="87"/>
      <c r="C152" s="150"/>
      <c r="D152" s="150"/>
    </row>
    <row r="153" spans="1:4" s="23" customFormat="1" ht="20.25" x14ac:dyDescent="0.25">
      <c r="A153" s="87"/>
      <c r="C153" s="150"/>
      <c r="D153" s="150"/>
    </row>
    <row r="154" spans="1:4" s="23" customFormat="1" ht="20.25" x14ac:dyDescent="0.25">
      <c r="A154" s="87"/>
      <c r="C154" s="150"/>
      <c r="D154" s="150"/>
    </row>
    <row r="155" spans="1:4" s="23" customFormat="1" ht="20.25" x14ac:dyDescent="0.25">
      <c r="A155" s="87"/>
      <c r="C155" s="150"/>
      <c r="D155" s="150"/>
    </row>
    <row r="156" spans="1:4" s="23" customFormat="1" ht="20.25" x14ac:dyDescent="0.25">
      <c r="A156" s="87"/>
      <c r="C156" s="150"/>
      <c r="D156" s="150"/>
    </row>
    <row r="157" spans="1:4" s="23" customFormat="1" ht="20.25" x14ac:dyDescent="0.25">
      <c r="A157" s="87"/>
      <c r="C157" s="150"/>
      <c r="D157" s="150"/>
    </row>
    <row r="158" spans="1:4" s="23" customFormat="1" ht="20.25" x14ac:dyDescent="0.25">
      <c r="A158" s="87"/>
      <c r="C158" s="150"/>
      <c r="D158" s="150"/>
    </row>
    <row r="159" spans="1:4" s="23" customFormat="1" ht="20.25" x14ac:dyDescent="0.25">
      <c r="A159" s="87"/>
      <c r="C159" s="150"/>
      <c r="D159" s="150"/>
    </row>
    <row r="160" spans="1:4" s="23" customFormat="1" ht="20.25" x14ac:dyDescent="0.25">
      <c r="A160" s="87"/>
      <c r="C160" s="150"/>
      <c r="D160" s="150"/>
    </row>
    <row r="161" spans="1:4" s="23" customFormat="1" ht="20.25" x14ac:dyDescent="0.25">
      <c r="A161" s="87"/>
      <c r="C161" s="150"/>
      <c r="D161" s="150"/>
    </row>
    <row r="162" spans="1:4" s="23" customFormat="1" ht="20.25" x14ac:dyDescent="0.25">
      <c r="A162" s="87"/>
      <c r="C162" s="150"/>
      <c r="D162" s="150"/>
    </row>
    <row r="163" spans="1:4" s="23" customFormat="1" ht="20.25" x14ac:dyDescent="0.25">
      <c r="A163" s="87"/>
      <c r="C163" s="150"/>
      <c r="D163" s="150"/>
    </row>
    <row r="164" spans="1:4" s="23" customFormat="1" ht="20.25" x14ac:dyDescent="0.25">
      <c r="A164" s="87"/>
      <c r="C164" s="150"/>
      <c r="D164" s="150"/>
    </row>
    <row r="165" spans="1:4" s="23" customFormat="1" ht="20.25" x14ac:dyDescent="0.25">
      <c r="A165" s="87"/>
      <c r="C165" s="150"/>
      <c r="D165" s="150"/>
    </row>
    <row r="166" spans="1:4" s="23" customFormat="1" ht="20.25" x14ac:dyDescent="0.25">
      <c r="A166" s="87"/>
      <c r="C166" s="150"/>
      <c r="D166" s="150"/>
    </row>
    <row r="167" spans="1:4" s="23" customFormat="1" ht="20.25" x14ac:dyDescent="0.25">
      <c r="A167" s="87"/>
      <c r="C167" s="150"/>
      <c r="D167" s="150"/>
    </row>
    <row r="168" spans="1:4" s="23" customFormat="1" ht="20.25" x14ac:dyDescent="0.25">
      <c r="A168" s="87"/>
      <c r="C168" s="150"/>
      <c r="D168" s="150"/>
    </row>
    <row r="169" spans="1:4" s="23" customFormat="1" ht="20.25" x14ac:dyDescent="0.25">
      <c r="A169" s="87"/>
      <c r="C169" s="150"/>
      <c r="D169" s="150"/>
    </row>
    <row r="170" spans="1:4" s="23" customFormat="1" ht="20.25" x14ac:dyDescent="0.25">
      <c r="A170" s="87"/>
      <c r="C170" s="150"/>
      <c r="D170" s="150"/>
    </row>
    <row r="171" spans="1:4" s="23" customFormat="1" ht="20.25" x14ac:dyDescent="0.25">
      <c r="A171" s="87"/>
      <c r="C171" s="150"/>
      <c r="D171" s="150"/>
    </row>
    <row r="172" spans="1:4" s="23" customFormat="1" ht="20.25" x14ac:dyDescent="0.25">
      <c r="A172" s="87"/>
      <c r="C172" s="150"/>
      <c r="D172" s="150"/>
    </row>
    <row r="173" spans="1:4" s="23" customFormat="1" ht="20.25" x14ac:dyDescent="0.25">
      <c r="A173" s="87"/>
      <c r="C173" s="150"/>
      <c r="D173" s="150"/>
    </row>
    <row r="174" spans="1:4" s="23" customFormat="1" ht="20.25" x14ac:dyDescent="0.25">
      <c r="A174" s="87"/>
      <c r="C174" s="150"/>
      <c r="D174" s="150"/>
    </row>
    <row r="175" spans="1:4" s="23" customFormat="1" ht="20.25" x14ac:dyDescent="0.25">
      <c r="A175" s="87"/>
      <c r="C175" s="150"/>
      <c r="D175" s="150"/>
    </row>
    <row r="176" spans="1:4" s="23" customFormat="1" ht="20.25" x14ac:dyDescent="0.25">
      <c r="A176" s="87"/>
      <c r="C176" s="150"/>
      <c r="D176" s="150"/>
    </row>
    <row r="177" spans="1:4" s="23" customFormat="1" ht="20.25" x14ac:dyDescent="0.25">
      <c r="A177" s="87"/>
      <c r="C177" s="150"/>
      <c r="D177" s="150"/>
    </row>
    <row r="178" spans="1:4" s="23" customFormat="1" ht="20.25" x14ac:dyDescent="0.25">
      <c r="A178" s="87"/>
      <c r="C178" s="150"/>
      <c r="D178" s="150"/>
    </row>
    <row r="179" spans="1:4" s="23" customFormat="1" ht="20.25" x14ac:dyDescent="0.25">
      <c r="A179" s="87"/>
      <c r="C179" s="150"/>
      <c r="D179" s="150"/>
    </row>
    <row r="180" spans="1:4" s="23" customFormat="1" ht="20.25" x14ac:dyDescent="0.25">
      <c r="A180" s="87"/>
      <c r="C180" s="150"/>
      <c r="D180" s="150"/>
    </row>
    <row r="181" spans="1:4" s="23" customFormat="1" ht="20.25" x14ac:dyDescent="0.25">
      <c r="A181" s="87"/>
      <c r="C181" s="150"/>
      <c r="D181" s="150"/>
    </row>
    <row r="182" spans="1:4" s="23" customFormat="1" ht="20.25" x14ac:dyDescent="0.25">
      <c r="A182" s="87"/>
      <c r="C182" s="150"/>
      <c r="D182" s="150"/>
    </row>
    <row r="183" spans="1:4" s="23" customFormat="1" ht="20.25" x14ac:dyDescent="0.25">
      <c r="A183" s="87"/>
      <c r="C183" s="150"/>
      <c r="D183" s="150"/>
    </row>
    <row r="184" spans="1:4" s="23" customFormat="1" ht="20.25" x14ac:dyDescent="0.25">
      <c r="A184" s="87"/>
      <c r="C184" s="150"/>
      <c r="D184" s="150"/>
    </row>
    <row r="185" spans="1:4" s="23" customFormat="1" ht="20.25" x14ac:dyDescent="0.25">
      <c r="A185" s="87"/>
      <c r="C185" s="150"/>
      <c r="D185" s="150"/>
    </row>
    <row r="186" spans="1:4" s="23" customFormat="1" ht="20.25" x14ac:dyDescent="0.25">
      <c r="A186" s="87"/>
      <c r="C186" s="150"/>
      <c r="D186" s="150"/>
    </row>
    <row r="187" spans="1:4" s="23" customFormat="1" ht="20.25" x14ac:dyDescent="0.25">
      <c r="A187" s="87"/>
      <c r="C187" s="150"/>
      <c r="D187" s="150"/>
    </row>
    <row r="188" spans="1:4" s="23" customFormat="1" ht="20.25" x14ac:dyDescent="0.25">
      <c r="A188" s="87"/>
      <c r="C188" s="150"/>
      <c r="D188" s="150"/>
    </row>
    <row r="189" spans="1:4" s="23" customFormat="1" ht="20.25" x14ac:dyDescent="0.25">
      <c r="A189" s="87"/>
      <c r="C189" s="150"/>
      <c r="D189" s="150"/>
    </row>
    <row r="190" spans="1:4" s="23" customFormat="1" ht="20.25" x14ac:dyDescent="0.25">
      <c r="A190" s="87"/>
      <c r="C190" s="150"/>
      <c r="D190" s="150"/>
    </row>
    <row r="191" spans="1:4" s="23" customFormat="1" ht="20.25" x14ac:dyDescent="0.25">
      <c r="A191" s="87"/>
      <c r="C191" s="150"/>
      <c r="D191" s="150"/>
    </row>
    <row r="192" spans="1:4" s="23" customFormat="1" ht="20.25" x14ac:dyDescent="0.25">
      <c r="A192" s="87"/>
      <c r="C192" s="150"/>
      <c r="D192" s="150"/>
    </row>
    <row r="193" spans="1:4" s="23" customFormat="1" ht="20.25" x14ac:dyDescent="0.25">
      <c r="A193" s="87"/>
      <c r="C193" s="150"/>
      <c r="D193" s="150"/>
    </row>
    <row r="194" spans="1:4" s="23" customFormat="1" ht="20.25" x14ac:dyDescent="0.25">
      <c r="A194" s="87"/>
      <c r="C194" s="150"/>
      <c r="D194" s="150"/>
    </row>
    <row r="195" spans="1:4" s="23" customFormat="1" ht="20.25" x14ac:dyDescent="0.25">
      <c r="A195" s="87"/>
      <c r="C195" s="150"/>
      <c r="D195" s="150"/>
    </row>
    <row r="196" spans="1:4" s="23" customFormat="1" ht="20.25" x14ac:dyDescent="0.25">
      <c r="A196" s="87"/>
      <c r="C196" s="150"/>
      <c r="D196" s="150"/>
    </row>
    <row r="197" spans="1:4" s="23" customFormat="1" ht="20.25" x14ac:dyDescent="0.25">
      <c r="A197" s="87"/>
      <c r="C197" s="150"/>
      <c r="D197" s="150"/>
    </row>
    <row r="198" spans="1:4" s="23" customFormat="1" ht="20.25" x14ac:dyDescent="0.25">
      <c r="A198" s="87"/>
      <c r="C198" s="150"/>
      <c r="D198" s="150"/>
    </row>
    <row r="199" spans="1:4" s="23" customFormat="1" ht="20.25" x14ac:dyDescent="0.25">
      <c r="A199" s="87"/>
      <c r="C199" s="150"/>
      <c r="D199" s="150"/>
    </row>
    <row r="200" spans="1:4" s="23" customFormat="1" ht="20.25" x14ac:dyDescent="0.25">
      <c r="A200" s="87"/>
      <c r="C200" s="150"/>
      <c r="D200" s="150"/>
    </row>
    <row r="201" spans="1:4" s="23" customFormat="1" ht="20.25" x14ac:dyDescent="0.25">
      <c r="A201" s="87"/>
      <c r="C201" s="150"/>
      <c r="D201" s="150"/>
    </row>
    <row r="202" spans="1:4" s="23" customFormat="1" ht="20.25" x14ac:dyDescent="0.25">
      <c r="A202" s="87"/>
      <c r="C202" s="150"/>
      <c r="D202" s="150"/>
    </row>
    <row r="203" spans="1:4" s="23" customFormat="1" ht="20.25" x14ac:dyDescent="0.25">
      <c r="A203" s="87"/>
      <c r="C203" s="150"/>
      <c r="D203" s="150"/>
    </row>
    <row r="204" spans="1:4" s="23" customFormat="1" ht="20.25" x14ac:dyDescent="0.25">
      <c r="A204" s="87"/>
      <c r="C204" s="150"/>
      <c r="D204" s="150"/>
    </row>
    <row r="205" spans="1:4" s="23" customFormat="1" ht="20.25" x14ac:dyDescent="0.25">
      <c r="A205" s="87"/>
      <c r="C205" s="150"/>
      <c r="D205" s="150"/>
    </row>
    <row r="206" spans="1:4" s="23" customFormat="1" ht="20.25" x14ac:dyDescent="0.25">
      <c r="A206" s="87"/>
      <c r="C206" s="150"/>
      <c r="D206" s="150"/>
    </row>
    <row r="207" spans="1:4" s="23" customFormat="1" ht="20.25" x14ac:dyDescent="0.25">
      <c r="A207" s="87"/>
      <c r="C207" s="150"/>
      <c r="D207" s="150"/>
    </row>
    <row r="208" spans="1:4" s="23" customFormat="1" x14ac:dyDescent="0.25">
      <c r="A208" s="87"/>
    </row>
    <row r="209" spans="1:8" s="23" customFormat="1" ht="20.25" x14ac:dyDescent="0.25">
      <c r="A209" s="87"/>
      <c r="B209" s="151" t="s">
        <v>86</v>
      </c>
      <c r="C209" s="151" t="s">
        <v>139</v>
      </c>
      <c r="D209" s="152" t="s">
        <v>86</v>
      </c>
      <c r="E209" s="152" t="s">
        <v>139</v>
      </c>
    </row>
    <row r="210" spans="1:8" s="23" customFormat="1" ht="42" x14ac:dyDescent="0.35">
      <c r="A210" s="87"/>
      <c r="B210" s="153" t="s">
        <v>88</v>
      </c>
      <c r="C210" s="153" t="s">
        <v>204</v>
      </c>
      <c r="D210" s="23" t="s">
        <v>88</v>
      </c>
      <c r="F210" s="23" t="str">
        <f>IF(NOT(ISBLANK(D210)),D210,IF(NOT(ISBLANK(E210)),"     "&amp;E210,FALSE))</f>
        <v>Afectación Económica o presupuestal</v>
      </c>
      <c r="G210" s="23" t="s">
        <v>88</v>
      </c>
      <c r="H210" s="23" t="str">
        <f ca="1">IF(NOT(ISERROR(MATCH(G210,_xlfn.ANCHORARRAY(B221),0))),F223&amp;"Por favor no seleccionar los criterios de impacto",G210)</f>
        <v>Afectación Económica o presupuestal</v>
      </c>
    </row>
    <row r="211" spans="1:8" s="23" customFormat="1" ht="42" x14ac:dyDescent="0.35">
      <c r="A211" s="87"/>
      <c r="B211" s="153" t="s">
        <v>88</v>
      </c>
      <c r="C211" s="153" t="s">
        <v>205</v>
      </c>
      <c r="E211" s="23" t="s">
        <v>204</v>
      </c>
      <c r="F211" s="23" t="str">
        <f t="shared" ref="F211:F221" si="0">IF(NOT(ISBLANK(D211)),D211,IF(NOT(ISBLANK(E211)),"     "&amp;E211,FALSE))</f>
        <v xml:space="preserve">     Afectación menor a 200 SMLMV</v>
      </c>
    </row>
    <row r="212" spans="1:8" s="23" customFormat="1" ht="42" x14ac:dyDescent="0.35">
      <c r="A212" s="87"/>
      <c r="B212" s="153" t="s">
        <v>88</v>
      </c>
      <c r="C212" s="153" t="s">
        <v>209</v>
      </c>
      <c r="E212" s="23" t="s">
        <v>205</v>
      </c>
      <c r="F212" s="23" t="str">
        <f t="shared" si="0"/>
        <v xml:space="preserve">     Entre 200 y 1000 SMLMV</v>
      </c>
    </row>
    <row r="213" spans="1:8" s="23" customFormat="1" ht="42" x14ac:dyDescent="0.35">
      <c r="A213" s="87"/>
      <c r="B213" s="153" t="s">
        <v>88</v>
      </c>
      <c r="C213" s="153" t="s">
        <v>210</v>
      </c>
      <c r="E213" s="23" t="s">
        <v>209</v>
      </c>
      <c r="F213" s="23" t="str">
        <f t="shared" si="0"/>
        <v xml:space="preserve">     Entre 1000 y 5000 SMLMV </v>
      </c>
    </row>
    <row r="214" spans="1:8" s="23" customFormat="1" ht="42" x14ac:dyDescent="0.35">
      <c r="A214" s="87"/>
      <c r="B214" s="153" t="s">
        <v>88</v>
      </c>
      <c r="C214" s="153" t="s">
        <v>206</v>
      </c>
      <c r="E214" s="23" t="s">
        <v>210</v>
      </c>
      <c r="F214" s="23" t="str">
        <f t="shared" si="0"/>
        <v xml:space="preserve">     Entre 5000 y 10000 SMLMV</v>
      </c>
    </row>
    <row r="215" spans="1:8" s="23" customFormat="1" ht="42" x14ac:dyDescent="0.35">
      <c r="A215" s="87"/>
      <c r="B215" s="153" t="s">
        <v>56</v>
      </c>
      <c r="C215" s="153" t="s">
        <v>91</v>
      </c>
      <c r="E215" s="23" t="s">
        <v>206</v>
      </c>
      <c r="F215" s="23" t="str">
        <f t="shared" si="0"/>
        <v xml:space="preserve">     Mayor a 10000 SMLMV</v>
      </c>
    </row>
    <row r="216" spans="1:8" s="23" customFormat="1" ht="63" x14ac:dyDescent="0.35">
      <c r="A216" s="87"/>
      <c r="B216" s="153" t="s">
        <v>56</v>
      </c>
      <c r="C216" s="153" t="s">
        <v>92</v>
      </c>
      <c r="D216" s="23" t="s">
        <v>56</v>
      </c>
      <c r="F216" s="23" t="str">
        <f t="shared" si="0"/>
        <v>Pérdida Reputacional</v>
      </c>
    </row>
    <row r="217" spans="1:8" s="23" customFormat="1" ht="42" x14ac:dyDescent="0.35">
      <c r="A217" s="87"/>
      <c r="B217" s="153" t="s">
        <v>56</v>
      </c>
      <c r="C217" s="153" t="s">
        <v>94</v>
      </c>
      <c r="E217" s="23" t="s">
        <v>91</v>
      </c>
      <c r="F217" s="23" t="str">
        <f>IF(NOT(ISBLANK(D217)),D217,IF(NOT(ISBLANK(E217)),"     "&amp;E217,FALSE))</f>
        <v xml:space="preserve">     El riesgo afecta la imagen de alguna área de la organización</v>
      </c>
    </row>
    <row r="218" spans="1:8" s="23" customFormat="1" ht="63" x14ac:dyDescent="0.35">
      <c r="A218" s="87"/>
      <c r="B218" s="153" t="s">
        <v>56</v>
      </c>
      <c r="C218" s="153"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53" t="s">
        <v>56</v>
      </c>
      <c r="C219" s="153" t="s">
        <v>112</v>
      </c>
      <c r="E219" s="23" t="s">
        <v>94</v>
      </c>
      <c r="F219" s="23" t="str">
        <f t="shared" si="0"/>
        <v xml:space="preserve">     El riesgo afecta la imagen de la entidad con algunos usuarios de relevancia frente al logro de los objetivos</v>
      </c>
    </row>
    <row r="220" spans="1:8" s="23" customFormat="1" x14ac:dyDescent="0.25">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e" cm="1">
        <f t="array" aca="1" ref="B221:B223" ca="1">_xlfn.UNIQUE(Tabla1[[#All],[Criterios]])</f>
        <v>#NAME?</v>
      </c>
      <c r="E221" s="23" t="s">
        <v>112</v>
      </c>
      <c r="F221" s="23" t="str">
        <f t="shared" si="0"/>
        <v xml:space="preserve">     El riesgo afecta la imagen de la entidad a nivel nacional, con efecto publicitarios sostenible a nivel país</v>
      </c>
    </row>
    <row r="222" spans="1:8" s="23" customFormat="1" x14ac:dyDescent="0.25">
      <c r="A222" s="87"/>
      <c r="B222" s="23" t="e">
        <f ca="1"/>
        <v>#NAME?</v>
      </c>
    </row>
    <row r="223" spans="1:8" s="23" customFormat="1" x14ac:dyDescent="0.25">
      <c r="B223" s="23" t="e">
        <f ca="1"/>
        <v>#NAME?</v>
      </c>
      <c r="F223" s="154" t="s">
        <v>140</v>
      </c>
    </row>
    <row r="224" spans="1:8" s="23" customFormat="1" x14ac:dyDescent="0.25">
      <c r="F224" s="154" t="s">
        <v>141</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13" workbookViewId="0">
      <selection activeCell="A14" sqref="A14"/>
    </sheetView>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443" t="s">
        <v>76</v>
      </c>
      <c r="C1" s="444"/>
      <c r="D1" s="444"/>
      <c r="E1" s="444"/>
      <c r="F1" s="445"/>
    </row>
    <row r="2" spans="2:6" ht="16.5" thickBot="1" x14ac:dyDescent="0.3">
      <c r="B2" s="73"/>
      <c r="C2" s="73"/>
      <c r="D2" s="73"/>
      <c r="E2" s="73"/>
      <c r="F2" s="73"/>
    </row>
    <row r="3" spans="2:6" ht="16.5" thickBot="1" x14ac:dyDescent="0.25">
      <c r="B3" s="447" t="s">
        <v>62</v>
      </c>
      <c r="C3" s="448"/>
      <c r="D3" s="448"/>
      <c r="E3" s="85" t="s">
        <v>63</v>
      </c>
      <c r="F3" s="86" t="s">
        <v>64</v>
      </c>
    </row>
    <row r="4" spans="2:6" ht="31.5" x14ac:dyDescent="0.2">
      <c r="B4" s="449" t="s">
        <v>65</v>
      </c>
      <c r="C4" s="451" t="s">
        <v>13</v>
      </c>
      <c r="D4" s="74" t="s">
        <v>14</v>
      </c>
      <c r="E4" s="75" t="s">
        <v>66</v>
      </c>
      <c r="F4" s="76">
        <v>0.25</v>
      </c>
    </row>
    <row r="5" spans="2:6" ht="47.25" x14ac:dyDescent="0.2">
      <c r="B5" s="450"/>
      <c r="C5" s="452"/>
      <c r="D5" s="77" t="s">
        <v>15</v>
      </c>
      <c r="E5" s="78" t="s">
        <v>67</v>
      </c>
      <c r="F5" s="79">
        <v>0.15</v>
      </c>
    </row>
    <row r="6" spans="2:6" ht="47.25" x14ac:dyDescent="0.2">
      <c r="B6" s="450"/>
      <c r="C6" s="452"/>
      <c r="D6" s="77" t="s">
        <v>16</v>
      </c>
      <c r="E6" s="78" t="s">
        <v>68</v>
      </c>
      <c r="F6" s="79">
        <v>0.1</v>
      </c>
    </row>
    <row r="7" spans="2:6" ht="63" x14ac:dyDescent="0.2">
      <c r="B7" s="450"/>
      <c r="C7" s="452" t="s">
        <v>17</v>
      </c>
      <c r="D7" s="77" t="s">
        <v>10</v>
      </c>
      <c r="E7" s="78" t="s">
        <v>69</v>
      </c>
      <c r="F7" s="79">
        <v>0.25</v>
      </c>
    </row>
    <row r="8" spans="2:6" ht="31.5" x14ac:dyDescent="0.2">
      <c r="B8" s="450"/>
      <c r="C8" s="452"/>
      <c r="D8" s="77" t="s">
        <v>9</v>
      </c>
      <c r="E8" s="78" t="s">
        <v>70</v>
      </c>
      <c r="F8" s="79">
        <v>0.15</v>
      </c>
    </row>
    <row r="9" spans="2:6" ht="47.25" x14ac:dyDescent="0.2">
      <c r="B9" s="450" t="s">
        <v>150</v>
      </c>
      <c r="C9" s="452" t="s">
        <v>18</v>
      </c>
      <c r="D9" s="77" t="s">
        <v>19</v>
      </c>
      <c r="E9" s="78" t="s">
        <v>71</v>
      </c>
      <c r="F9" s="80" t="s">
        <v>72</v>
      </c>
    </row>
    <row r="10" spans="2:6" ht="63" x14ac:dyDescent="0.2">
      <c r="B10" s="450"/>
      <c r="C10" s="452"/>
      <c r="D10" s="77" t="s">
        <v>20</v>
      </c>
      <c r="E10" s="78" t="s">
        <v>73</v>
      </c>
      <c r="F10" s="80" t="s">
        <v>72</v>
      </c>
    </row>
    <row r="11" spans="2:6" ht="47.25" x14ac:dyDescent="0.2">
      <c r="B11" s="450"/>
      <c r="C11" s="452" t="s">
        <v>21</v>
      </c>
      <c r="D11" s="77" t="s">
        <v>22</v>
      </c>
      <c r="E11" s="78" t="s">
        <v>74</v>
      </c>
      <c r="F11" s="80" t="s">
        <v>72</v>
      </c>
    </row>
    <row r="12" spans="2:6" ht="47.25" x14ac:dyDescent="0.2">
      <c r="B12" s="450"/>
      <c r="C12" s="452"/>
      <c r="D12" s="77" t="s">
        <v>23</v>
      </c>
      <c r="E12" s="78" t="s">
        <v>75</v>
      </c>
      <c r="F12" s="80" t="s">
        <v>72</v>
      </c>
    </row>
    <row r="13" spans="2:6" ht="31.5" x14ac:dyDescent="0.2">
      <c r="B13" s="450"/>
      <c r="C13" s="452" t="s">
        <v>24</v>
      </c>
      <c r="D13" s="77" t="s">
        <v>113</v>
      </c>
      <c r="E13" s="78" t="s">
        <v>116</v>
      </c>
      <c r="F13" s="80" t="s">
        <v>72</v>
      </c>
    </row>
    <row r="14" spans="2:6" ht="32.25" thickBot="1" x14ac:dyDescent="0.25">
      <c r="B14" s="453"/>
      <c r="C14" s="454"/>
      <c r="D14" s="81" t="s">
        <v>114</v>
      </c>
      <c r="E14" s="82" t="s">
        <v>115</v>
      </c>
      <c r="F14" s="83" t="s">
        <v>72</v>
      </c>
    </row>
    <row r="15" spans="2:6" ht="49.5" customHeight="1" x14ac:dyDescent="0.2">
      <c r="B15" s="446" t="s">
        <v>147</v>
      </c>
      <c r="C15" s="446"/>
      <c r="D15" s="446"/>
      <c r="E15" s="446"/>
      <c r="F15" s="446"/>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127</v>
      </c>
    </row>
    <row r="3" spans="2:5" x14ac:dyDescent="0.25">
      <c r="B3" t="s">
        <v>32</v>
      </c>
      <c r="E3" t="s">
        <v>126</v>
      </c>
    </row>
    <row r="4" spans="2:5" x14ac:dyDescent="0.25">
      <c r="B4" t="s">
        <v>131</v>
      </c>
      <c r="E4" t="s">
        <v>128</v>
      </c>
    </row>
    <row r="5" spans="2:5" x14ac:dyDescent="0.25">
      <c r="B5" t="s">
        <v>130</v>
      </c>
    </row>
    <row r="8" spans="2:5" x14ac:dyDescent="0.25">
      <c r="B8" t="s">
        <v>84</v>
      </c>
    </row>
    <row r="9" spans="2:5" x14ac:dyDescent="0.25">
      <c r="B9" t="s">
        <v>39</v>
      </c>
    </row>
    <row r="10" spans="2:5" x14ac:dyDescent="0.25">
      <c r="B10" t="s">
        <v>40</v>
      </c>
    </row>
    <row r="13" spans="2:5" x14ac:dyDescent="0.25">
      <c r="B13" t="s">
        <v>123</v>
      </c>
    </row>
    <row r="14" spans="2:5" x14ac:dyDescent="0.25">
      <c r="B14" t="s">
        <v>117</v>
      </c>
    </row>
    <row r="15" spans="2:5" x14ac:dyDescent="0.25">
      <c r="B15" t="s">
        <v>120</v>
      </c>
    </row>
    <row r="16" spans="2:5" x14ac:dyDescent="0.25">
      <c r="B16" t="s">
        <v>118</v>
      </c>
    </row>
    <row r="17" spans="2:2" x14ac:dyDescent="0.25">
      <c r="B17" t="s">
        <v>119</v>
      </c>
    </row>
    <row r="18" spans="2:2" x14ac:dyDescent="0.25">
      <c r="B18" t="s">
        <v>121</v>
      </c>
    </row>
    <row r="19" spans="2:2" x14ac:dyDescent="0.25">
      <c r="B19" t="s">
        <v>122</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39</v>
      </c>
    </row>
    <row r="21" spans="1:1" x14ac:dyDescent="0.2">
      <c r="A21" s="1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2020-05-13T01:12:22Z</cp:lastPrinted>
  <dcterms:created xsi:type="dcterms:W3CDTF">2020-03-24T23:12:47Z</dcterms:created>
  <dcterms:modified xsi:type="dcterms:W3CDTF">2023-04-26T15:48:01Z</dcterms:modified>
</cp:coreProperties>
</file>