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Print_Area" localSheetId="0">Intructivo!$B$40:$H$44</definedName>
    <definedName name="_xlnm.Print_Area" localSheetId="1">'Mapa final'!$A$1:$AL$11</definedName>
  </definedNames>
  <calcPr calcId="162913"/>
  <pivotCaches>
    <pivotCache cacheId="0" r:id="rId11"/>
  </pivotCaches>
</workbook>
</file>

<file path=xl/calcChain.xml><?xml version="1.0" encoding="utf-8"?>
<calcChain xmlns="http://schemas.openxmlformats.org/spreadsheetml/2006/main">
  <c r="J15" i="1" l="1"/>
  <c r="K15" i="1" s="1"/>
  <c r="J21" i="1"/>
  <c r="J27" i="1"/>
  <c r="K27" i="1" s="1"/>
  <c r="J33" i="1"/>
  <c r="K33" i="1" s="1"/>
  <c r="J39" i="1"/>
  <c r="K39" i="1" s="1"/>
  <c r="J45" i="1"/>
  <c r="K45" i="1" s="1"/>
  <c r="J51" i="1"/>
  <c r="K51" i="1" s="1"/>
  <c r="J57" i="1"/>
  <c r="K57" i="1" s="1"/>
  <c r="V26" i="1"/>
  <c r="S26" i="1"/>
  <c r="V25" i="1"/>
  <c r="S25" i="1"/>
  <c r="V24" i="1"/>
  <c r="S24" i="1"/>
  <c r="V23" i="1"/>
  <c r="S23" i="1"/>
  <c r="V22" i="1"/>
  <c r="S22" i="1"/>
  <c r="V21" i="1"/>
  <c r="S21" i="1"/>
  <c r="V20" i="1"/>
  <c r="S20" i="1"/>
  <c r="V19" i="1"/>
  <c r="S19" i="1"/>
  <c r="V18" i="1"/>
  <c r="S18" i="1"/>
  <c r="V17" i="1"/>
  <c r="S17" i="1"/>
  <c r="V16" i="1"/>
  <c r="S16" i="1"/>
  <c r="V15" i="1"/>
  <c r="S15" i="1"/>
  <c r="AD16" i="1" s="1"/>
  <c r="AC16" i="1" s="1"/>
  <c r="V14" i="1"/>
  <c r="V13" i="1"/>
  <c r="V12" i="1"/>
  <c r="M28" i="1"/>
  <c r="M41" i="1"/>
  <c r="M34" i="1"/>
  <c r="M40" i="1"/>
  <c r="M18" i="1"/>
  <c r="M52" i="1"/>
  <c r="M23" i="1"/>
  <c r="M25" i="1"/>
  <c r="M24" i="1"/>
  <c r="M36" i="1"/>
  <c r="M60" i="1"/>
  <c r="M48" i="1"/>
  <c r="M26" i="1"/>
  <c r="M44" i="1"/>
  <c r="M54" i="1"/>
  <c r="M31" i="1"/>
  <c r="M43" i="1"/>
  <c r="M42" i="1"/>
  <c r="M56" i="1"/>
  <c r="M29" i="1"/>
  <c r="M30" i="1"/>
  <c r="M35" i="1"/>
  <c r="M59" i="1"/>
  <c r="M61" i="1"/>
  <c r="M22" i="1"/>
  <c r="M20" i="1"/>
  <c r="M62" i="1"/>
  <c r="M50" i="1"/>
  <c r="M37" i="1"/>
  <c r="M17" i="1"/>
  <c r="M49" i="1"/>
  <c r="M58" i="1"/>
  <c r="M32" i="1"/>
  <c r="M55" i="1"/>
  <c r="M47" i="1"/>
  <c r="M16" i="1"/>
  <c r="M38" i="1"/>
  <c r="M53" i="1"/>
  <c r="M46" i="1"/>
  <c r="M19" i="1"/>
  <c r="AD24" i="1" l="1"/>
  <c r="AC24" i="1" s="1"/>
  <c r="Z20" i="1"/>
  <c r="AB20" i="1" s="1"/>
  <c r="AD17" i="1"/>
  <c r="AC17" i="1" s="1"/>
  <c r="AD25" i="1"/>
  <c r="AC25" i="1" s="1"/>
  <c r="AD19" i="1"/>
  <c r="AC19" i="1" s="1"/>
  <c r="Z23" i="1"/>
  <c r="AA23" i="1" s="1"/>
  <c r="AD18" i="1"/>
  <c r="AC18" i="1" s="1"/>
  <c r="AD22" i="1"/>
  <c r="AC22" i="1" s="1"/>
  <c r="AD26" i="1"/>
  <c r="AC26" i="1" s="1"/>
  <c r="K21" i="1"/>
  <c r="Z21" i="1"/>
  <c r="Z25" i="1"/>
  <c r="AD21" i="1"/>
  <c r="AC21" i="1" s="1"/>
  <c r="AD23" i="1"/>
  <c r="AC23" i="1" s="1"/>
  <c r="Z22" i="1"/>
  <c r="Z24" i="1"/>
  <c r="Z26" i="1"/>
  <c r="Z17" i="1"/>
  <c r="Z15" i="1"/>
  <c r="Z19" i="1"/>
  <c r="AD15" i="1"/>
  <c r="AC15" i="1" s="1"/>
  <c r="Z18" i="1"/>
  <c r="Z16" i="1"/>
  <c r="AD20" i="1"/>
  <c r="AC20" i="1" s="1"/>
  <c r="AB23" i="1" l="1"/>
  <c r="AA20" i="1"/>
  <c r="AB25" i="1"/>
  <c r="AA25" i="1"/>
  <c r="AE25" i="1" s="1"/>
  <c r="AB24" i="1"/>
  <c r="AA24" i="1"/>
  <c r="AE24" i="1" s="1"/>
  <c r="AB21" i="1"/>
  <c r="AA21" i="1"/>
  <c r="AE21" i="1" s="1"/>
  <c r="AA26" i="1"/>
  <c r="AE26" i="1" s="1"/>
  <c r="AB26" i="1"/>
  <c r="AB22" i="1"/>
  <c r="AA22" i="1"/>
  <c r="AE22" i="1" s="1"/>
  <c r="AE23" i="1"/>
  <c r="AB16" i="1"/>
  <c r="AA16" i="1"/>
  <c r="AE16" i="1" s="1"/>
  <c r="AB15" i="1"/>
  <c r="AA15" i="1"/>
  <c r="AE15" i="1" s="1"/>
  <c r="AE20" i="1"/>
  <c r="AB18" i="1"/>
  <c r="AA18" i="1"/>
  <c r="AE18" i="1" s="1"/>
  <c r="AB19" i="1"/>
  <c r="AA19" i="1"/>
  <c r="AE19" i="1" s="1"/>
  <c r="AB17" i="1"/>
  <c r="AA17" i="1"/>
  <c r="AE17" i="1" s="1"/>
  <c r="F217" i="13" l="1"/>
  <c r="V10" i="1" l="1"/>
  <c r="S10" i="1"/>
  <c r="J10" i="1" l="1"/>
  <c r="K10" i="1" s="1"/>
  <c r="M13" i="1"/>
  <c r="M14" i="1"/>
  <c r="F221" i="13" l="1"/>
  <c r="F211" i="13"/>
  <c r="F212" i="13"/>
  <c r="F213" i="13"/>
  <c r="F214" i="13"/>
  <c r="F215" i="13"/>
  <c r="F216" i="13"/>
  <c r="F218" i="13"/>
  <c r="F219" i="13"/>
  <c r="F220" i="13"/>
  <c r="F210" i="13"/>
  <c r="M11" i="1"/>
  <c r="B221" i="13" a="1"/>
  <c r="B221" i="13" l="1"/>
  <c r="S4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2" i="1" l="1"/>
  <c r="S62" i="1"/>
  <c r="V61" i="1"/>
  <c r="S61" i="1"/>
  <c r="V60" i="1"/>
  <c r="S60" i="1"/>
  <c r="V59" i="1"/>
  <c r="S59" i="1"/>
  <c r="V58" i="1"/>
  <c r="S58" i="1"/>
  <c r="V57" i="1"/>
  <c r="S57" i="1"/>
  <c r="V56" i="1"/>
  <c r="S56" i="1"/>
  <c r="V55" i="1"/>
  <c r="S55" i="1"/>
  <c r="V54" i="1"/>
  <c r="S54" i="1"/>
  <c r="V53" i="1"/>
  <c r="S53" i="1"/>
  <c r="V52" i="1"/>
  <c r="S52" i="1"/>
  <c r="V51" i="1"/>
  <c r="S51" i="1"/>
  <c r="V50" i="1"/>
  <c r="S50" i="1"/>
  <c r="V49" i="1"/>
  <c r="S49" i="1"/>
  <c r="V48" i="1"/>
  <c r="S48" i="1"/>
  <c r="V47" i="1"/>
  <c r="S47" i="1"/>
  <c r="V46" i="1"/>
  <c r="S46" i="1"/>
  <c r="AD46" i="1" s="1"/>
  <c r="V45" i="1"/>
  <c r="J12" i="1"/>
  <c r="S14" i="1"/>
  <c r="S13" i="1"/>
  <c r="S12" i="1"/>
  <c r="Z13" i="1" l="1"/>
  <c r="AD13" i="1"/>
  <c r="AC13" i="1" s="1"/>
  <c r="AD14" i="1"/>
  <c r="AC14" i="1" s="1"/>
  <c r="Z14" i="1"/>
  <c r="AD58" i="1"/>
  <c r="AD52" i="1"/>
  <c r="K12" i="1"/>
  <c r="Z12" i="1" s="1"/>
  <c r="Z57" i="1"/>
  <c r="Z51" i="1"/>
  <c r="Z45" i="1"/>
  <c r="AB12" i="1" l="1"/>
  <c r="AA12" i="1"/>
  <c r="AA14" i="1"/>
  <c r="AE14" i="1" s="1"/>
  <c r="AB14" i="1"/>
  <c r="AA13" i="1"/>
  <c r="AE13" i="1" s="1"/>
  <c r="AB13" i="1"/>
  <c r="AA57" i="1"/>
  <c r="AB57" i="1"/>
  <c r="Z58" i="1" s="1"/>
  <c r="AA58" i="1" s="1"/>
  <c r="AA51" i="1"/>
  <c r="AB51" i="1"/>
  <c r="Z52" i="1" s="1"/>
  <c r="AB52" i="1" s="1"/>
  <c r="Z53" i="1" s="1"/>
  <c r="AA45" i="1"/>
  <c r="AB45" i="1"/>
  <c r="Z46" i="1" s="1"/>
  <c r="AB46" i="1" s="1"/>
  <c r="Z47" i="1" s="1"/>
  <c r="AA52" i="1" l="1"/>
  <c r="AA46" i="1"/>
  <c r="AB53" i="1"/>
  <c r="Z54" i="1" s="1"/>
  <c r="AA53" i="1"/>
  <c r="AB47" i="1"/>
  <c r="Z48" i="1" s="1"/>
  <c r="AA47" i="1"/>
  <c r="AB58" i="1"/>
  <c r="Z59"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54" i="1" l="1"/>
  <c r="AB54" i="1"/>
  <c r="AA48" i="1"/>
  <c r="AB48" i="1"/>
  <c r="Z49" i="1" s="1"/>
  <c r="AA59" i="1"/>
  <c r="AB59" i="1"/>
  <c r="Z60" i="1" s="1"/>
  <c r="AA49" i="1" l="1"/>
  <c r="AB49" i="1"/>
  <c r="Z50" i="1" s="1"/>
  <c r="Z55" i="1"/>
  <c r="Z56" i="1"/>
  <c r="AB60" i="1"/>
  <c r="AA60" i="1"/>
  <c r="AA56" i="1" l="1"/>
  <c r="AB56" i="1"/>
  <c r="AA55" i="1"/>
  <c r="AB55" i="1"/>
  <c r="AA50" i="1"/>
  <c r="AB50" i="1"/>
  <c r="Z61" i="1"/>
  <c r="Z62" i="1"/>
  <c r="Z10" i="1"/>
  <c r="AA10" i="1" s="1"/>
  <c r="AA62" i="1" l="1"/>
  <c r="AB62" i="1"/>
  <c r="AA61" i="1"/>
  <c r="AB61" i="1"/>
  <c r="AB10" i="1" l="1"/>
  <c r="AD57" i="1" l="1"/>
  <c r="AC57" i="1" l="1"/>
  <c r="AD59" i="1"/>
  <c r="AD51" i="1"/>
  <c r="AD45" i="1"/>
  <c r="AC45"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57" i="1"/>
  <c r="P25" i="19"/>
  <c r="V55" i="19"/>
  <c r="J15" i="19"/>
  <c r="AB15" i="19"/>
  <c r="J35" i="19"/>
  <c r="AB35" i="19"/>
  <c r="J55" i="19"/>
  <c r="AB25" i="19"/>
  <c r="P35" i="19"/>
  <c r="P55" i="19"/>
  <c r="AB45" i="19"/>
  <c r="P15" i="19"/>
  <c r="AE4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1" i="1"/>
  <c r="AC5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59" i="1"/>
  <c r="AD60"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6" i="1"/>
  <c r="AD47" i="1"/>
  <c r="AC52" i="1"/>
  <c r="AD53"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0" i="1"/>
  <c r="AD61" i="1"/>
  <c r="K35" i="19"/>
  <c r="AC25" i="19"/>
  <c r="K45" i="19"/>
  <c r="AI45" i="19"/>
  <c r="W45" i="19"/>
  <c r="Q35" i="19"/>
  <c r="K55" i="19"/>
  <c r="AC15" i="19"/>
  <c r="Q15" i="19"/>
  <c r="AC35" i="19"/>
  <c r="AI35" i="19"/>
  <c r="Q55" i="19"/>
  <c r="AI25" i="19"/>
  <c r="AE58"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2"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59"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1"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7" i="1"/>
  <c r="AD48"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53" i="1"/>
  <c r="AD54"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6"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48" i="1"/>
  <c r="AD49" i="1"/>
  <c r="AC61" i="1"/>
  <c r="AD62" i="1"/>
  <c r="AC62"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7" i="1"/>
  <c r="X23" i="19"/>
  <c r="R33" i="19"/>
  <c r="R43" i="19"/>
  <c r="AD53" i="19"/>
  <c r="AJ13" i="19"/>
  <c r="R23" i="19"/>
  <c r="R13" i="19"/>
  <c r="AJ53" i="19"/>
  <c r="L33" i="19"/>
  <c r="L23" i="19"/>
  <c r="X43" i="19"/>
  <c r="X53" i="19"/>
  <c r="AD13" i="19"/>
  <c r="L53" i="19"/>
  <c r="L13" i="19"/>
  <c r="AD23" i="19"/>
  <c r="AJ33" i="19"/>
  <c r="AJ23" i="19"/>
  <c r="R53" i="19"/>
  <c r="M55" i="19"/>
  <c r="AK15" i="19"/>
  <c r="AE25" i="19"/>
  <c r="AE60"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4" i="1"/>
  <c r="AD55"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3"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4"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2"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1"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49" i="1"/>
  <c r="AD50" i="1"/>
  <c r="AC50"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5" i="1"/>
  <c r="AD56" i="1"/>
  <c r="AC56"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48"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6" i="1"/>
  <c r="AA14" i="19"/>
  <c r="O54" i="19"/>
  <c r="U44" i="19"/>
  <c r="U43" i="19"/>
  <c r="U13" i="19"/>
  <c r="AM53" i="19"/>
  <c r="AA53" i="19"/>
  <c r="AA43" i="19"/>
  <c r="O53" i="19"/>
  <c r="O23" i="19"/>
  <c r="O13" i="19"/>
  <c r="AG43" i="19"/>
  <c r="U33" i="19"/>
  <c r="U23" i="19"/>
  <c r="AM13" i="19"/>
  <c r="AM23" i="19"/>
  <c r="AG13" i="19"/>
  <c r="AA23" i="19"/>
  <c r="AG33" i="19"/>
  <c r="AA33" i="19"/>
  <c r="AM33" i="19"/>
  <c r="AA13" i="19"/>
  <c r="AE5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5" i="1"/>
  <c r="AF53" i="19"/>
  <c r="T43" i="19"/>
  <c r="Z53" i="19"/>
  <c r="N43" i="19"/>
  <c r="T23" i="19"/>
  <c r="AF43" i="19"/>
  <c r="Z13" i="19"/>
  <c r="Z43" i="19"/>
  <c r="AF23" i="19"/>
  <c r="AL13" i="19"/>
  <c r="Z23" i="19"/>
  <c r="AL43" i="19"/>
  <c r="AF13" i="19"/>
  <c r="AL23" i="19"/>
  <c r="N13" i="19"/>
  <c r="T33" i="19"/>
  <c r="AL53" i="19"/>
  <c r="N23" i="19"/>
  <c r="N53" i="19"/>
  <c r="AF33" i="19"/>
  <c r="N33" i="19"/>
  <c r="AE49"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5" i="1" l="1"/>
  <c r="N15" i="1" s="1"/>
  <c r="M10" i="1"/>
  <c r="N10" i="1" s="1"/>
  <c r="M39" i="1"/>
  <c r="N39" i="1" s="1"/>
  <c r="M12" i="1"/>
  <c r="N12" i="1" s="1"/>
  <c r="M21" i="1"/>
  <c r="N21" i="1" s="1"/>
  <c r="M45" i="1"/>
  <c r="N45" i="1" s="1"/>
  <c r="M27" i="1"/>
  <c r="N27" i="1" s="1"/>
  <c r="M33" i="1"/>
  <c r="N33" i="1" s="1"/>
  <c r="M51" i="1"/>
  <c r="N51" i="1" s="1"/>
  <c r="M57" i="1"/>
  <c r="N57" i="1" s="1"/>
  <c r="O33" i="1" l="1"/>
  <c r="P33" i="1"/>
  <c r="AL32" i="18"/>
  <c r="N40" i="18"/>
  <c r="AF16" i="18"/>
  <c r="AL40" i="18"/>
  <c r="T8" i="18"/>
  <c r="T40" i="18"/>
  <c r="AL8" i="18"/>
  <c r="N8" i="18"/>
  <c r="AF32" i="18"/>
  <c r="AF8" i="18"/>
  <c r="AF24" i="18"/>
  <c r="AL24" i="18"/>
  <c r="T24" i="18"/>
  <c r="N16" i="18"/>
  <c r="Z32" i="18"/>
  <c r="Z40" i="18"/>
  <c r="Z16" i="18"/>
  <c r="T16" i="18"/>
  <c r="N24" i="18"/>
  <c r="Z8" i="18"/>
  <c r="N32" i="18"/>
  <c r="AF40" i="18"/>
  <c r="AL16" i="18"/>
  <c r="Z24" i="18"/>
  <c r="T32" i="18"/>
  <c r="O57" i="1"/>
  <c r="P57" i="1"/>
  <c r="V12" i="18"/>
  <c r="V36" i="18"/>
  <c r="V20" i="18"/>
  <c r="AH28" i="18"/>
  <c r="J28" i="18"/>
  <c r="P20" i="18"/>
  <c r="AB20" i="18"/>
  <c r="AH36" i="18"/>
  <c r="J36" i="18"/>
  <c r="V28" i="18"/>
  <c r="AB36" i="18"/>
  <c r="J12" i="18"/>
  <c r="J44" i="18"/>
  <c r="AB28" i="18"/>
  <c r="AH12" i="18"/>
  <c r="J20" i="18"/>
  <c r="P12" i="18"/>
  <c r="AH44" i="18"/>
  <c r="P28" i="18"/>
  <c r="P44" i="18"/>
  <c r="AB12" i="18"/>
  <c r="AH20" i="18"/>
  <c r="AB44" i="18"/>
  <c r="V44" i="18"/>
  <c r="P36" i="18"/>
  <c r="O27" i="1"/>
  <c r="P27" i="1"/>
  <c r="L16" i="18"/>
  <c r="AJ16" i="18"/>
  <c r="R8" i="18"/>
  <c r="AJ40" i="18"/>
  <c r="R32" i="18"/>
  <c r="AD8" i="18"/>
  <c r="X40" i="18"/>
  <c r="AJ32" i="18"/>
  <c r="L32" i="18"/>
  <c r="X8" i="18"/>
  <c r="AD40" i="18"/>
  <c r="R24" i="18"/>
  <c r="R40" i="18"/>
  <c r="L40" i="18"/>
  <c r="X16" i="18"/>
  <c r="R16" i="18"/>
  <c r="L8" i="18"/>
  <c r="X32" i="18"/>
  <c r="AD24" i="18"/>
  <c r="L24" i="18"/>
  <c r="X24" i="18"/>
  <c r="AD32" i="18"/>
  <c r="AJ24" i="18"/>
  <c r="AD16" i="18"/>
  <c r="AJ8" i="18"/>
  <c r="O45" i="1"/>
  <c r="P45" i="1"/>
  <c r="R18" i="18"/>
  <c r="AJ10" i="18"/>
  <c r="L18" i="18"/>
  <c r="AJ34" i="18"/>
  <c r="R26" i="18"/>
  <c r="AJ42" i="18"/>
  <c r="R10" i="18"/>
  <c r="R34" i="18"/>
  <c r="L34" i="18"/>
  <c r="AJ18" i="18"/>
  <c r="R42" i="18"/>
  <c r="X26" i="18"/>
  <c r="AD26" i="18"/>
  <c r="AJ26" i="18"/>
  <c r="X34" i="18"/>
  <c r="L10" i="18"/>
  <c r="X10" i="18"/>
  <c r="AD18" i="18"/>
  <c r="AD10" i="18"/>
  <c r="X42" i="18"/>
  <c r="AD34" i="18"/>
  <c r="X18" i="18"/>
  <c r="L42" i="18"/>
  <c r="L26" i="18"/>
  <c r="AD42" i="18"/>
  <c r="O21" i="1"/>
  <c r="P21" i="1"/>
  <c r="P16" i="18"/>
  <c r="P40" i="18"/>
  <c r="V32" i="18"/>
  <c r="J32" i="18"/>
  <c r="AH16" i="18"/>
  <c r="V8" i="18"/>
  <c r="AH24" i="18"/>
  <c r="AH8" i="18"/>
  <c r="J8" i="18"/>
  <c r="AB32" i="18"/>
  <c r="AB8" i="18"/>
  <c r="J24" i="18"/>
  <c r="AH40" i="18"/>
  <c r="P8" i="18"/>
  <c r="P32" i="18"/>
  <c r="V16" i="18"/>
  <c r="AB16" i="18"/>
  <c r="V40" i="18"/>
  <c r="AB24" i="18"/>
  <c r="J16" i="18"/>
  <c r="J40" i="18"/>
  <c r="AB40" i="18"/>
  <c r="AH32" i="18"/>
  <c r="P24" i="18"/>
  <c r="V24" i="18"/>
  <c r="L30" i="18"/>
  <c r="R38" i="18"/>
  <c r="AJ14" i="18"/>
  <c r="R14" i="18"/>
  <c r="AJ38" i="18"/>
  <c r="X30" i="18"/>
  <c r="AD6" i="18"/>
  <c r="L22" i="18"/>
  <c r="AD30" i="18"/>
  <c r="AJ22" i="18"/>
  <c r="AJ6" i="18"/>
  <c r="L38" i="18"/>
  <c r="AD14" i="18"/>
  <c r="L14" i="18"/>
  <c r="X38" i="18"/>
  <c r="R6" i="18"/>
  <c r="O12" i="1"/>
  <c r="AD12" i="1" s="1"/>
  <c r="AC12" i="1" s="1"/>
  <c r="X14" i="18"/>
  <c r="R22" i="18"/>
  <c r="AD22" i="18"/>
  <c r="X6" i="18"/>
  <c r="AJ30" i="18"/>
  <c r="P12" i="1"/>
  <c r="L6" i="18"/>
  <c r="R30" i="18"/>
  <c r="X22" i="18"/>
  <c r="AD38" i="18"/>
  <c r="O39" i="1"/>
  <c r="P39" i="1"/>
  <c r="AB10" i="18"/>
  <c r="J18" i="18"/>
  <c r="P18" i="18"/>
  <c r="J26" i="18"/>
  <c r="AB42" i="18"/>
  <c r="AB18" i="18"/>
  <c r="AH10" i="18"/>
  <c r="V18" i="18"/>
  <c r="AB34" i="18"/>
  <c r="V10" i="18"/>
  <c r="V42" i="18"/>
  <c r="P26" i="18"/>
  <c r="P34" i="18"/>
  <c r="V34" i="18"/>
  <c r="J10" i="18"/>
  <c r="J42" i="18"/>
  <c r="P10" i="18"/>
  <c r="AB26" i="18"/>
  <c r="P42" i="18"/>
  <c r="V26" i="18"/>
  <c r="J34" i="18"/>
  <c r="AH34" i="18"/>
  <c r="AH26" i="18"/>
  <c r="AH18" i="18"/>
  <c r="AH42" i="18"/>
  <c r="J30" i="18"/>
  <c r="P38" i="18"/>
  <c r="AB6" i="18"/>
  <c r="AH6" i="18"/>
  <c r="AB38" i="18"/>
  <c r="O10" i="1"/>
  <c r="AD10" i="1" s="1"/>
  <c r="AC10" i="1" s="1"/>
  <c r="J38" i="18"/>
  <c r="V6" i="18"/>
  <c r="J6" i="18"/>
  <c r="P30" i="18"/>
  <c r="AH22" i="18"/>
  <c r="P6" i="18"/>
  <c r="AB30" i="18"/>
  <c r="J22" i="18"/>
  <c r="V38" i="18"/>
  <c r="V22" i="18"/>
  <c r="P22" i="18"/>
  <c r="AB22" i="18"/>
  <c r="AH30" i="18"/>
  <c r="P10" i="1"/>
  <c r="V14" i="18"/>
  <c r="J14" i="18"/>
  <c r="P14" i="18"/>
  <c r="AH14" i="18"/>
  <c r="AH38" i="18"/>
  <c r="AB14" i="18"/>
  <c r="V30" i="18"/>
  <c r="O51" i="1"/>
  <c r="P51" i="1"/>
  <c r="Z42" i="18"/>
  <c r="T18" i="18"/>
  <c r="N18" i="18"/>
  <c r="T26" i="18"/>
  <c r="N42" i="18"/>
  <c r="Z18" i="18"/>
  <c r="N10" i="18"/>
  <c r="AF26" i="18"/>
  <c r="Z10" i="18"/>
  <c r="AL34" i="18"/>
  <c r="N26" i="18"/>
  <c r="AL18" i="18"/>
  <c r="AL42" i="18"/>
  <c r="AF18" i="18"/>
  <c r="Z26" i="18"/>
  <c r="AF10" i="18"/>
  <c r="T10" i="18"/>
  <c r="T42" i="18"/>
  <c r="Z34" i="18"/>
  <c r="N34" i="18"/>
  <c r="AF34" i="18"/>
  <c r="AF42" i="18"/>
  <c r="T34" i="18"/>
  <c r="AL10" i="18"/>
  <c r="AL26" i="18"/>
  <c r="O15" i="1"/>
  <c r="P15" i="1"/>
  <c r="AL6" i="18"/>
  <c r="Z30" i="18"/>
  <c r="N30" i="18"/>
  <c r="Z6" i="18"/>
  <c r="AL38" i="18"/>
  <c r="N14" i="18"/>
  <c r="T14" i="18"/>
  <c r="AL14" i="18"/>
  <c r="N22" i="18"/>
  <c r="T6" i="18"/>
  <c r="T22" i="18"/>
  <c r="AF6" i="18"/>
  <c r="AF38" i="18"/>
  <c r="AF30" i="18"/>
  <c r="T38" i="18"/>
  <c r="N6" i="18"/>
  <c r="AL22" i="18"/>
  <c r="AF22" i="18"/>
  <c r="AL30" i="18"/>
  <c r="T30" i="18"/>
  <c r="Z14" i="18"/>
  <c r="N38" i="18"/>
  <c r="Z22" i="18"/>
  <c r="Z38" i="18"/>
  <c r="AF14" i="18"/>
  <c r="V26" i="19" l="1"/>
  <c r="AH36" i="19"/>
  <c r="P26" i="19"/>
  <c r="AB16" i="19"/>
  <c r="J16" i="19"/>
  <c r="V16" i="19"/>
  <c r="V36" i="19"/>
  <c r="AE10" i="1"/>
  <c r="P46" i="19"/>
  <c r="AB36" i="19"/>
  <c r="AB6" i="19"/>
  <c r="P36" i="19"/>
  <c r="J36" i="19"/>
  <c r="AH16" i="19"/>
  <c r="J26" i="19"/>
  <c r="V6" i="19"/>
  <c r="J46" i="19"/>
  <c r="P16" i="19"/>
  <c r="P6" i="19"/>
  <c r="AH6" i="19"/>
  <c r="AH26" i="19"/>
  <c r="V46" i="19"/>
  <c r="AH46" i="19"/>
  <c r="AB46" i="19"/>
  <c r="J6" i="19"/>
  <c r="AB26" i="19"/>
  <c r="AE12" i="1"/>
  <c r="AH7" i="19"/>
  <c r="V7" i="19"/>
  <c r="AB17" i="19"/>
  <c r="AH47" i="19"/>
  <c r="P47" i="19"/>
  <c r="AH37" i="19"/>
  <c r="J7" i="19"/>
  <c r="J47" i="19"/>
  <c r="AB47" i="19"/>
  <c r="AB27" i="19"/>
  <c r="P27" i="19"/>
  <c r="V37" i="19"/>
  <c r="J17" i="19"/>
  <c r="AB7" i="19"/>
  <c r="AH17" i="19"/>
  <c r="AB37" i="19"/>
  <c r="V47" i="19"/>
  <c r="P17" i="19"/>
  <c r="P7" i="19"/>
  <c r="P37" i="19"/>
  <c r="J37" i="19"/>
  <c r="V17" i="19"/>
  <c r="AH27" i="19"/>
  <c r="V27" i="19"/>
  <c r="J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<sst xmlns="http://schemas.openxmlformats.org/spreadsheetml/2006/main" count="474" uniqueCount="229">
  <si>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</si>
  <si>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</si>
  <si>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</si>
  <si>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</si>
  <si>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</si>
  <si>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</si>
  <si>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</si>
  <si>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</si>
  <si>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</si>
  <si>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</si>
  <si>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</si>
  <si>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</si>
  <si>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</si>
  <si>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</si>
  <si>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</si>
  <si>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</si>
  <si>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</si>
  <si>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</si>
  <si>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</si>
  <si>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</si>
  <si>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</si>
  <si>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</si>
  <si>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</si>
  <si>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</si>
  <si>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</si>
  <si>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</si>
  <si>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</si>
  <si>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</si>
  <si>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</si>
  <si>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</si>
  <si>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</si>
  <si>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</si>
  <si>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</si>
  <si>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</si>
  <si>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</si>
  <si>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</si>
  <si>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</si>
  <si>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</si>
  <si>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</si>
  <si>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</si>
  <si>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</si>
  <si>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</si>
  <si>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</si>
  <si>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</si>
  <si>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</si>
  <si>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</si>
  <si>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</si>
  <si>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</si>
  <si>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</si>
  <si>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</si>
  <si>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</si>
  <si>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</si>
  <si>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</si>
  <si>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</si>
  <si>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</si>
  <si>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</si>
  <si>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</si>
  <si>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</si>
  <si>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</si>
  <si>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</si>
  <si>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</si>
  <si>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</si>
  <si>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</si>
  <si>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</si>
  <si>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</si>
  <si>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</si>
  <si>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</si>
  <si>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</si>
  <si>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</si>
  <si>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</si>
  <si>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</si>
  <si>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</si>
  <si>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</si>
  <si>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</si>
  <si>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</si>
  <si>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</si>
  <si>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</si>
  <si>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</si>
  <si>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</si>
  <si>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</si>
  <si>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</si>
  <si>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</si>
  <si>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</si>
  <si>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</si>
  <si>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</si>
  <si>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</si>
  <si>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</si>
  <si>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</si>
  <si>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</si>
  <si>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</si>
  <si>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</si>
  <si>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</si>
  <si>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</si>
  <si>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</si>
  <si>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</si>
  <si>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</si>
  <si>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</si>
  <si>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</si>
  <si>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</si>
  <si>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</si>
  <si>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</si>
  <si>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</si>
  <si>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</si>
  <si>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</si>
  <si>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</si>
  <si>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</si>
  <si>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</si>
  <si>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</si>
  <si>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</si>
  <si>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</si>
  <si>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</si>
  <si>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</si>
  <si>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</si>
  <si>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</si>
  <si>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</si>
  <si>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</si>
  <si>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</si>
  <si>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</si>
  <si>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</si>
  <si>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</si>
  <si>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</si>
  <si>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</si>
  <si>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</si>
  <si>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</si>
  <si>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</si>
  <si>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</si>
  <si>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</si>
  <si>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</si>
  <si>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</si>
  <si>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</si>
  <si>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</si>
  <si>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</si>
  <si>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</si>
  <si>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</si>
  <si>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</si>
  <si>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</si>
  <si>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</si>
  <si>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</si>
  <si>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</si>
  <si>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</si>
  <si>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</si>
  <si>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</si>
  <si>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</si>
  <si>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</si>
  <si>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</si>
  <si>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</si>
  <si>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</si>
  <si>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</si>
  <si>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</si>
  <si>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</si>
  <si>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</si>
  <si>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</si>
  <si>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</si>
  <si>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</si>
  <si>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</si>
  <si>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</si>
  <si>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</si>
  <si>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</si>
  <si>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</si>
  <si>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</si>
  <si>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</si>
  <si>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</si>
  <si>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</si>
  <si>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</si>
  <si>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</si>
  <si>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</si>
  <si>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</si>
  <si>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</si>
  <si>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</si>
  <si>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</si>
  <si>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</si>
  <si>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</si>
  <si>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</si>
  <si>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</si>
  <si>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</si>
  <si>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</si>
  <si>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</si>
  <si>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</si>
  <si>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</si>
  <si>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</si>
  <si>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</si>
  <si>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</si>
  <si>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</si>
  <si>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</si>
  <si>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</si>
  <si>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</si>
  <si>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</si>
  <si>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</si>
  <si>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</si>
  <si>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</si>
  <si>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</si>
  <si>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</si>
  <si>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</si>
  <si>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</si>
  <si>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</si>
  <si>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</si>
  <si>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</si>
  <si>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</si>
  <si>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</si>
  <si>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</si>
  <si>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</si>
  <si>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</si>
  <si>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</si>
  <si>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</si>
  <si>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</si>
  <si>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</si>
  <si>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</si>
  <si>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</si>
  <si>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</si>
  <si>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</si>
  <si>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</si>
  <si>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</si>
  <si>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</si>
  <si>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</si>
  <si>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</si>
  <si>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</si>
  <si>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Sancion del ente regulador</t>
  </si>
  <si>
    <t>Deficiente planeacion de las actividades del proceso</t>
  </si>
  <si>
    <t>Falta de Presupuesto para cumplir con el correcto funcionamiento de los procesos de la entidad.</t>
  </si>
  <si>
    <t>Plan Anual de Adquisiciones 
Ejecucion de las actividades propias del proceso.</t>
  </si>
  <si>
    <t>Director(a) Recursos Fisicos</t>
  </si>
  <si>
    <t xml:space="preserve">GESTIONAR OPORTUNAMENTE EL FUNCIONAMIENTO DE LA ADMINISTRACION CENTRAL MEDIANTE LA ADQUISICIÓN Y MANTENIMIENTO DE BIENES Y SERVICIOS, EJECUTANDO EL 80% DEL PRESUPUESTO ASIGNADO CONTRIBUYENDO A LA GESTIÓN DE LOS PROCESOS Y AL LOGRO DE LOS OBJETIVOS INSTITUCIONALES.
</t>
  </si>
  <si>
    <t>INICIA CON LA PLANEACIÓN DEL PROCESO, GESTIONANDO LOS BIENES Y SERVICIOS REQUERIDOS PARA GARANTIZAR EL FUNCIONAMIENTO DE LA ADMINISTRACIÓN, DESARROLLANDO LAS ACTIVIDADES DE MANEJO Y CONTROL DEL INVENTARIO DE LOS BIENES MUEBLES DEL MUNICIPIO, IDENTIFICAR, LEGALIZAR Y TITULAR LOS BIENES FISCALES Y DE USO PUBLICO Y EL MANTENIMIENTO PREVENTIVO Y CORRECTIVO DE VEHICULOS Y BIENES DEL MUNICIPIO, CULMINANDO CON EL SEGUIMIENTO Y EVALUACIÓN DEL PROCESO.</t>
  </si>
  <si>
    <t>GESTIÓN DE RECURSOS FÍSICOS</t>
  </si>
  <si>
    <t>Posibilidad de afectacion economica y reputacional por las sanciones del ente regulador debido a la Deficiente gestion de la Programacion Contractual para el Funcionamiento de la Administracion Central</t>
  </si>
  <si>
    <t>Deficiente gestion de la Programacion Contractual Para el Funcionamiento de la Administracion Central</t>
  </si>
  <si>
    <t>El Director(a) de Recursos Fisicos  junto con su equipo de trabajo trimestralmente se reunen con el fin de revisar y hacer seguimiento al Plan de Accion: actividades programadas vs su ejecucion para poder tomar acciones en caso de desviacion.</t>
  </si>
  <si>
    <t>El director (a) de recursos Fisicos a principio de año revisa el presupuesto y las necesidades de la entidad para planearlas en el Plan de Accion de la Direccion, dejando como evidencia:
el Plan de Accion</t>
  </si>
  <si>
    <t>La Secretaria Administrativa y la Dirección de Recursos Físicos en el mes de Diciembre dio respuesta a la Circular 034 Instrumentos de Planeación para la Vigencia 2023, donde se envió memorando 69017 del 20 de diciembre de 2022, allegando el Plan de Acción para la Vigencia 2023 al cual se le hace seguimiento trimestralmente. (31 marzo, 30 junio, 30 septiembre, 31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</si>
</sst>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1" fillId="3" borderId="75" xfId="0" applyFont="1" applyFill="1" applyBorder="1" applyAlignment="1">
      <alignmen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0" fillId="3" borderId="12" xfId="2" applyFont="1" applyFill="1" applyBorder="1" applyAlignment="1">
      <alignment horizontal="left" vertical="top" wrapText="1"/>
    </xf>
    <xf numFmtId="0" fontId="40" fillId="3" borderId="19" xfId="2" applyFont="1" applyFill="1" applyBorder="1" applyAlignment="1">
      <alignment horizontal="left" vertical="top" wrapText="1"/>
    </xf>
    <xf numFmtId="0" fontId="40" fillId="3" borderId="13" xfId="2" applyFont="1" applyFill="1" applyBorder="1" applyAlignment="1">
      <alignment horizontal="left" vertical="top" wrapText="1"/>
    </xf>
    <xf numFmtId="0" fontId="40" fillId="3" borderId="16" xfId="2" applyFont="1" applyFill="1" applyBorder="1" applyAlignment="1">
      <alignment horizontal="left" vertical="top" wrapText="1"/>
    </xf>
    <xf numFmtId="0" fontId="40" fillId="3" borderId="18" xfId="2" applyFont="1" applyFill="1" applyBorder="1" applyAlignment="1">
      <alignment horizontal="left" vertical="top" wrapText="1"/>
    </xf>
    <xf numFmtId="0" fontId="40" fillId="3" borderId="17" xfId="2" applyFont="1" applyFill="1" applyBorder="1" applyAlignment="1">
      <alignment horizontal="left" vertical="top"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49" fillId="0" borderId="4"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27" fillId="0" borderId="4"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164" fontId="1" fillId="0" borderId="4" xfId="1" applyNumberFormat="1" applyFont="1" applyBorder="1" applyAlignment="1">
      <alignment horizontal="center" vertical="top"/>
    </xf>
    <xf numFmtId="164" fontId="1" fillId="0" borderId="5" xfId="1" applyNumberFormat="1" applyFont="1" applyBorder="1" applyAlignment="1">
      <alignment horizontal="center" vertical="top"/>
    </xf>
    <xf numFmtId="0" fontId="27" fillId="3" borderId="75" xfId="0" applyFont="1" applyFill="1" applyBorder="1" applyAlignment="1" applyProtection="1">
      <alignment horizontal="left" vertical="top" wrapText="1"/>
      <protection locked="0"/>
    </xf>
    <xf numFmtId="0" fontId="27" fillId="3" borderId="77" xfId="0" applyFont="1" applyFill="1" applyBorder="1" applyAlignment="1" applyProtection="1">
      <alignment horizontal="left" vertical="top"/>
      <protection locked="0"/>
    </xf>
    <xf numFmtId="0" fontId="27" fillId="3" borderId="78" xfId="0" applyFont="1" applyFill="1" applyBorder="1" applyAlignment="1" applyProtection="1">
      <alignment horizontal="left" vertical="top"/>
      <protection locked="0"/>
    </xf>
    <xf numFmtId="0" fontId="27" fillId="3" borderId="79" xfId="0" applyFont="1" applyFill="1" applyBorder="1" applyAlignment="1" applyProtection="1">
      <alignment horizontal="left" vertical="top"/>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4"/>
  <sheetViews>
    <sheetView topLeftCell="A10" workbookViewId="0">
      <selection activeCell="B40" sqref="B40:H40"/>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19.85546875" style="67" customWidth="1"/>
    <col min="9" max="16384" width="11.42578125" style="67"/>
  </cols>
  <sheetData>
    <row r="1" spans="2:8" ht="15.75" thickBot="1" x14ac:dyDescent="0.3"/>
    <row r="2" spans="2:8" ht="18" x14ac:dyDescent="0.25">
      <c r="B2" s="171" t="s">
        <v>155</v>
      </c>
      <c r="C2" s="172"/>
      <c r="D2" s="172"/>
      <c r="E2" s="172"/>
      <c r="F2" s="172"/>
      <c r="G2" s="172"/>
      <c r="H2" s="173"/>
    </row>
    <row r="3" spans="2:8" x14ac:dyDescent="0.25">
      <c r="B3" s="68"/>
      <c r="C3" s="69"/>
      <c r="D3" s="69"/>
      <c r="E3" s="69"/>
      <c r="F3" s="69"/>
      <c r="G3" s="69"/>
      <c r="H3" s="70"/>
    </row>
    <row r="4" spans="2:8" ht="63" customHeight="1" x14ac:dyDescent="0.25">
      <c r="B4" s="174" t="s">
        <v>198</v>
      </c>
      <c r="C4" s="175"/>
      <c r="D4" s="175"/>
      <c r="E4" s="175"/>
      <c r="F4" s="175"/>
      <c r="G4" s="175"/>
      <c r="H4" s="176"/>
    </row>
    <row r="5" spans="2:8" ht="63" customHeight="1" x14ac:dyDescent="0.25">
      <c r="B5" s="177"/>
      <c r="C5" s="178"/>
      <c r="D5" s="178"/>
      <c r="E5" s="178"/>
      <c r="F5" s="178"/>
      <c r="G5" s="178"/>
      <c r="H5" s="179"/>
    </row>
    <row r="6" spans="2:8" ht="16.5" x14ac:dyDescent="0.25">
      <c r="B6" s="180" t="s">
        <v>153</v>
      </c>
      <c r="C6" s="181"/>
      <c r="D6" s="181"/>
      <c r="E6" s="181"/>
      <c r="F6" s="181"/>
      <c r="G6" s="181"/>
      <c r="H6" s="182"/>
    </row>
    <row r="7" spans="2:8" ht="95.25" customHeight="1" x14ac:dyDescent="0.25">
      <c r="B7" s="190" t="s">
        <v>158</v>
      </c>
      <c r="C7" s="191"/>
      <c r="D7" s="191"/>
      <c r="E7" s="191"/>
      <c r="F7" s="191"/>
      <c r="G7" s="191"/>
      <c r="H7" s="192"/>
    </row>
    <row r="8" spans="2:8" ht="16.5" x14ac:dyDescent="0.25">
      <c r="B8" s="99"/>
      <c r="C8" s="100"/>
      <c r="D8" s="100"/>
      <c r="E8" s="100"/>
      <c r="F8" s="100"/>
      <c r="G8" s="100"/>
      <c r="H8" s="101"/>
    </row>
    <row r="9" spans="2:8" ht="16.5" customHeight="1" x14ac:dyDescent="0.25">
      <c r="B9" s="183" t="s">
        <v>191</v>
      </c>
      <c r="C9" s="184"/>
      <c r="D9" s="184"/>
      <c r="E9" s="184"/>
      <c r="F9" s="184"/>
      <c r="G9" s="184"/>
      <c r="H9" s="185"/>
    </row>
    <row r="10" spans="2:8" ht="44.25" customHeight="1" x14ac:dyDescent="0.25">
      <c r="B10" s="183"/>
      <c r="C10" s="184"/>
      <c r="D10" s="184"/>
      <c r="E10" s="184"/>
      <c r="F10" s="184"/>
      <c r="G10" s="184"/>
      <c r="H10" s="185"/>
    </row>
    <row r="11" spans="2:8" ht="15.75" thickBot="1" x14ac:dyDescent="0.3">
      <c r="B11" s="91"/>
      <c r="C11" s="94"/>
      <c r="D11" s="96"/>
      <c r="E11" s="97"/>
      <c r="F11" s="97"/>
      <c r="G11" s="98"/>
      <c r="H11" s="95"/>
    </row>
    <row r="12" spans="2:8" ht="15.75" thickTop="1" x14ac:dyDescent="0.25">
      <c r="B12" s="91"/>
      <c r="C12" s="186" t="s">
        <v>154</v>
      </c>
      <c r="D12" s="187"/>
      <c r="E12" s="188" t="s">
        <v>192</v>
      </c>
      <c r="F12" s="189"/>
      <c r="G12" s="94"/>
      <c r="H12" s="95"/>
    </row>
    <row r="13" spans="2:8" ht="35.25" customHeight="1" x14ac:dyDescent="0.25">
      <c r="B13" s="91"/>
      <c r="C13" s="152" t="s">
        <v>185</v>
      </c>
      <c r="D13" s="153"/>
      <c r="E13" s="154" t="s">
        <v>190</v>
      </c>
      <c r="F13" s="155"/>
      <c r="G13" s="94"/>
      <c r="H13" s="95"/>
    </row>
    <row r="14" spans="2:8" ht="17.25" customHeight="1" x14ac:dyDescent="0.25">
      <c r="B14" s="91"/>
      <c r="C14" s="152" t="s">
        <v>186</v>
      </c>
      <c r="D14" s="153"/>
      <c r="E14" s="154" t="s">
        <v>188</v>
      </c>
      <c r="F14" s="155"/>
      <c r="G14" s="94"/>
      <c r="H14" s="95"/>
    </row>
    <row r="15" spans="2:8" ht="19.5" customHeight="1" x14ac:dyDescent="0.25">
      <c r="B15" s="91"/>
      <c r="C15" s="152" t="s">
        <v>187</v>
      </c>
      <c r="D15" s="153"/>
      <c r="E15" s="154" t="s">
        <v>189</v>
      </c>
      <c r="F15" s="155"/>
      <c r="G15" s="94"/>
      <c r="H15" s="95"/>
    </row>
    <row r="16" spans="2:8" ht="69.75" customHeight="1" x14ac:dyDescent="0.25">
      <c r="B16" s="91"/>
      <c r="C16" s="152" t="s">
        <v>156</v>
      </c>
      <c r="D16" s="153"/>
      <c r="E16" s="154" t="s">
        <v>157</v>
      </c>
      <c r="F16" s="155"/>
      <c r="G16" s="94"/>
      <c r="H16" s="95"/>
    </row>
    <row r="17" spans="2:8" ht="34.5" customHeight="1" x14ac:dyDescent="0.25">
      <c r="B17" s="91"/>
      <c r="C17" s="156" t="s">
        <v>2</v>
      </c>
      <c r="D17" s="157"/>
      <c r="E17" s="148" t="s">
        <v>199</v>
      </c>
      <c r="F17" s="149"/>
      <c r="G17" s="94"/>
      <c r="H17" s="95"/>
    </row>
    <row r="18" spans="2:8" ht="27.75" customHeight="1" x14ac:dyDescent="0.25">
      <c r="B18" s="91"/>
      <c r="C18" s="156" t="s">
        <v>3</v>
      </c>
      <c r="D18" s="157"/>
      <c r="E18" s="148" t="s">
        <v>200</v>
      </c>
      <c r="F18" s="149"/>
      <c r="G18" s="94"/>
      <c r="H18" s="95"/>
    </row>
    <row r="19" spans="2:8" ht="28.5" customHeight="1" x14ac:dyDescent="0.25">
      <c r="B19" s="91"/>
      <c r="C19" s="156" t="s">
        <v>42</v>
      </c>
      <c r="D19" s="157"/>
      <c r="E19" s="148" t="s">
        <v>201</v>
      </c>
      <c r="F19" s="149"/>
      <c r="G19" s="94"/>
      <c r="H19" s="95"/>
    </row>
    <row r="20" spans="2:8" ht="72.75" customHeight="1" x14ac:dyDescent="0.25">
      <c r="B20" s="91"/>
      <c r="C20" s="156" t="s">
        <v>1</v>
      </c>
      <c r="D20" s="157"/>
      <c r="E20" s="148" t="s">
        <v>202</v>
      </c>
      <c r="F20" s="149"/>
      <c r="G20" s="94"/>
      <c r="H20" s="95"/>
    </row>
    <row r="21" spans="2:8" ht="64.5" customHeight="1" x14ac:dyDescent="0.25">
      <c r="B21" s="91"/>
      <c r="C21" s="156" t="s">
        <v>50</v>
      </c>
      <c r="D21" s="157"/>
      <c r="E21" s="148" t="s">
        <v>160</v>
      </c>
      <c r="F21" s="149"/>
      <c r="G21" s="94"/>
      <c r="H21" s="95"/>
    </row>
    <row r="22" spans="2:8" ht="71.25" customHeight="1" x14ac:dyDescent="0.25">
      <c r="B22" s="91"/>
      <c r="C22" s="156" t="s">
        <v>159</v>
      </c>
      <c r="D22" s="157"/>
      <c r="E22" s="148" t="s">
        <v>161</v>
      </c>
      <c r="F22" s="149"/>
      <c r="G22" s="94"/>
      <c r="H22" s="95"/>
    </row>
    <row r="23" spans="2:8" ht="55.5" customHeight="1" x14ac:dyDescent="0.25">
      <c r="B23" s="91"/>
      <c r="C23" s="150" t="s">
        <v>162</v>
      </c>
      <c r="D23" s="151"/>
      <c r="E23" s="148" t="s">
        <v>163</v>
      </c>
      <c r="F23" s="149"/>
      <c r="G23" s="94"/>
      <c r="H23" s="95"/>
    </row>
    <row r="24" spans="2:8" ht="42" customHeight="1" x14ac:dyDescent="0.25">
      <c r="B24" s="91"/>
      <c r="C24" s="150" t="s">
        <v>48</v>
      </c>
      <c r="D24" s="151"/>
      <c r="E24" s="148" t="s">
        <v>164</v>
      </c>
      <c r="F24" s="149"/>
      <c r="G24" s="94"/>
      <c r="H24" s="95"/>
    </row>
    <row r="25" spans="2:8" ht="59.25" customHeight="1" x14ac:dyDescent="0.25">
      <c r="B25" s="91"/>
      <c r="C25" s="150" t="s">
        <v>152</v>
      </c>
      <c r="D25" s="151"/>
      <c r="E25" s="148" t="s">
        <v>165</v>
      </c>
      <c r="F25" s="149"/>
      <c r="G25" s="94"/>
      <c r="H25" s="95"/>
    </row>
    <row r="26" spans="2:8" ht="23.25" customHeight="1" x14ac:dyDescent="0.25">
      <c r="B26" s="91"/>
      <c r="C26" s="150" t="s">
        <v>12</v>
      </c>
      <c r="D26" s="151"/>
      <c r="E26" s="148" t="s">
        <v>166</v>
      </c>
      <c r="F26" s="149"/>
      <c r="G26" s="94"/>
      <c r="H26" s="95"/>
    </row>
    <row r="27" spans="2:8" ht="30.75" customHeight="1" x14ac:dyDescent="0.25">
      <c r="B27" s="91"/>
      <c r="C27" s="150" t="s">
        <v>170</v>
      </c>
      <c r="D27" s="151"/>
      <c r="E27" s="148" t="s">
        <v>167</v>
      </c>
      <c r="F27" s="149"/>
      <c r="G27" s="94"/>
      <c r="H27" s="95"/>
    </row>
    <row r="28" spans="2:8" ht="35.25" customHeight="1" x14ac:dyDescent="0.25">
      <c r="B28" s="91"/>
      <c r="C28" s="150" t="s">
        <v>171</v>
      </c>
      <c r="D28" s="151"/>
      <c r="E28" s="148" t="s">
        <v>168</v>
      </c>
      <c r="F28" s="149"/>
      <c r="G28" s="94"/>
      <c r="H28" s="95"/>
    </row>
    <row r="29" spans="2:8" ht="33" customHeight="1" x14ac:dyDescent="0.25">
      <c r="B29" s="91"/>
      <c r="C29" s="150" t="s">
        <v>171</v>
      </c>
      <c r="D29" s="151"/>
      <c r="E29" s="148" t="s">
        <v>168</v>
      </c>
      <c r="F29" s="149"/>
      <c r="G29" s="94"/>
      <c r="H29" s="95"/>
    </row>
    <row r="30" spans="2:8" ht="30" customHeight="1" x14ac:dyDescent="0.25">
      <c r="B30" s="91"/>
      <c r="C30" s="150" t="s">
        <v>172</v>
      </c>
      <c r="D30" s="151"/>
      <c r="E30" s="148" t="s">
        <v>169</v>
      </c>
      <c r="F30" s="149"/>
      <c r="G30" s="94"/>
      <c r="H30" s="95"/>
    </row>
    <row r="31" spans="2:8" ht="35.25" customHeight="1" x14ac:dyDescent="0.25">
      <c r="B31" s="91"/>
      <c r="C31" s="150" t="s">
        <v>173</v>
      </c>
      <c r="D31" s="151"/>
      <c r="E31" s="148" t="s">
        <v>174</v>
      </c>
      <c r="F31" s="149"/>
      <c r="G31" s="94"/>
      <c r="H31" s="95"/>
    </row>
    <row r="32" spans="2:8" ht="31.5" customHeight="1" x14ac:dyDescent="0.25">
      <c r="B32" s="91"/>
      <c r="C32" s="150" t="s">
        <v>175</v>
      </c>
      <c r="D32" s="151"/>
      <c r="E32" s="148" t="s">
        <v>176</v>
      </c>
      <c r="F32" s="149"/>
      <c r="G32" s="94"/>
      <c r="H32" s="95"/>
    </row>
    <row r="33" spans="2:8" ht="35.25" customHeight="1" x14ac:dyDescent="0.25">
      <c r="B33" s="91"/>
      <c r="C33" s="150" t="s">
        <v>177</v>
      </c>
      <c r="D33" s="151"/>
      <c r="E33" s="148" t="s">
        <v>178</v>
      </c>
      <c r="F33" s="149"/>
      <c r="G33" s="94"/>
      <c r="H33" s="95"/>
    </row>
    <row r="34" spans="2:8" ht="59.25" customHeight="1" x14ac:dyDescent="0.25">
      <c r="B34" s="91"/>
      <c r="C34" s="150" t="s">
        <v>179</v>
      </c>
      <c r="D34" s="151"/>
      <c r="E34" s="148" t="s">
        <v>180</v>
      </c>
      <c r="F34" s="149"/>
      <c r="G34" s="94"/>
      <c r="H34" s="95"/>
    </row>
    <row r="35" spans="2:8" ht="29.25" customHeight="1" x14ac:dyDescent="0.25">
      <c r="B35" s="91"/>
      <c r="C35" s="150" t="s">
        <v>29</v>
      </c>
      <c r="D35" s="151"/>
      <c r="E35" s="148" t="s">
        <v>181</v>
      </c>
      <c r="F35" s="149"/>
      <c r="G35" s="94"/>
      <c r="H35" s="95"/>
    </row>
    <row r="36" spans="2:8" ht="82.5" customHeight="1" x14ac:dyDescent="0.25">
      <c r="B36" s="91"/>
      <c r="C36" s="150" t="s">
        <v>183</v>
      </c>
      <c r="D36" s="151"/>
      <c r="E36" s="148" t="s">
        <v>182</v>
      </c>
      <c r="F36" s="149"/>
      <c r="G36" s="94"/>
      <c r="H36" s="95"/>
    </row>
    <row r="37" spans="2:8" ht="46.5" customHeight="1" x14ac:dyDescent="0.25">
      <c r="B37" s="91"/>
      <c r="C37" s="150" t="s">
        <v>39</v>
      </c>
      <c r="D37" s="151"/>
      <c r="E37" s="148" t="s">
        <v>184</v>
      </c>
      <c r="F37" s="149"/>
      <c r="G37" s="94"/>
      <c r="H37" s="95"/>
    </row>
    <row r="38" spans="2:8" ht="6.75" customHeight="1" thickBot="1" x14ac:dyDescent="0.3">
      <c r="B38" s="91"/>
      <c r="C38" s="161"/>
      <c r="D38" s="162"/>
      <c r="E38" s="163"/>
      <c r="F38" s="164"/>
      <c r="G38" s="94"/>
      <c r="H38" s="95"/>
    </row>
    <row r="39" spans="2:8" ht="16.5" thickTop="1" thickBot="1" x14ac:dyDescent="0.3">
      <c r="B39" s="91"/>
      <c r="C39" s="92"/>
      <c r="D39" s="92"/>
      <c r="E39" s="93"/>
      <c r="F39" s="93"/>
      <c r="G39" s="94"/>
      <c r="H39" s="95"/>
    </row>
    <row r="40" spans="2:8" ht="38.25" customHeight="1" x14ac:dyDescent="0.25">
      <c r="B40" s="165" t="s">
        <v>193</v>
      </c>
      <c r="C40" s="166"/>
      <c r="D40" s="166"/>
      <c r="E40" s="166"/>
      <c r="F40" s="166"/>
      <c r="G40" s="166"/>
      <c r="H40" s="167"/>
    </row>
    <row r="41" spans="2:8" ht="38.25" customHeight="1" x14ac:dyDescent="0.25">
      <c r="B41" s="158" t="s">
        <v>194</v>
      </c>
      <c r="C41" s="159"/>
      <c r="D41" s="159"/>
      <c r="E41" s="159"/>
      <c r="F41" s="159"/>
      <c r="G41" s="159"/>
      <c r="H41" s="160"/>
    </row>
    <row r="42" spans="2:8" ht="38.25" customHeight="1" x14ac:dyDescent="0.25">
      <c r="B42" s="158" t="s">
        <v>195</v>
      </c>
      <c r="C42" s="159"/>
      <c r="D42" s="159"/>
      <c r="E42" s="159"/>
      <c r="F42" s="159"/>
      <c r="G42" s="159"/>
      <c r="H42" s="160"/>
    </row>
    <row r="43" spans="2:8" ht="38.25" customHeight="1" x14ac:dyDescent="0.25">
      <c r="B43" s="158" t="s">
        <v>196</v>
      </c>
      <c r="C43" s="159"/>
      <c r="D43" s="159"/>
      <c r="E43" s="159"/>
      <c r="F43" s="159"/>
      <c r="G43" s="159"/>
      <c r="H43" s="160"/>
    </row>
    <row r="44" spans="2:8" ht="38.25" customHeight="1" thickBot="1" x14ac:dyDescent="0.3">
      <c r="B44" s="168" t="s">
        <v>197</v>
      </c>
      <c r="C44" s="169"/>
      <c r="D44" s="169"/>
      <c r="E44" s="169"/>
      <c r="F44" s="169"/>
      <c r="G44" s="169"/>
      <c r="H44" s="170"/>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BR65"/>
  <sheetViews>
    <sheetView tabSelected="1" topLeftCell="X1" zoomScale="70" zoomScaleNormal="70" workbookViewId="0">
      <selection activeCell="AM8" sqref="AM8"/>
    </sheetView>
  </sheetViews>
  <sheetFormatPr baseColWidth="10" defaultColWidth="11.42578125" defaultRowHeight="16.5" x14ac:dyDescent="0.3"/>
  <cols>
    <col min="1" max="1" width="4" style="2" hidden="1" customWidth="1"/>
    <col min="2" max="2" width="14.140625" style="2" hidden="1" customWidth="1"/>
    <col min="3" max="3" width="13.140625" style="2" hidden="1" customWidth="1"/>
    <col min="4" max="4" width="16.140625" style="2" hidden="1" customWidth="1"/>
    <col min="5" max="5" width="30.28515625" style="2" hidden="1" customWidth="1"/>
    <col min="6" max="7" width="35" style="1" hidden="1" customWidth="1"/>
    <col min="8" max="8" width="18.140625" style="5" hidden="1" customWidth="1"/>
    <col min="9" max="9" width="14.28515625" style="1" hidden="1" customWidth="1"/>
    <col min="10" max="10" width="12" style="1" hidden="1" customWidth="1"/>
    <col min="11" max="11" width="6.28515625" style="1" hidden="1" customWidth="1"/>
    <col min="12" max="12" width="24.42578125" style="1" hidden="1" customWidth="1"/>
    <col min="13" max="13" width="28.28515625" style="1" hidden="1" customWidth="1"/>
    <col min="14" max="14" width="17.5703125" style="1" hidden="1" customWidth="1"/>
    <col min="15" max="15" width="6.28515625" style="1" hidden="1" customWidth="1"/>
    <col min="16" max="16" width="16" style="1" hidden="1" customWidth="1"/>
    <col min="17" max="17" width="5.85546875" style="1" customWidth="1"/>
    <col min="18" max="18" width="55" style="1" customWidth="1"/>
    <col min="19" max="19" width="15.140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customWidth="1"/>
    <col min="26" max="26" width="38.57031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31.42578125" style="1" customWidth="1"/>
    <col min="34" max="34" width="18.85546875" style="1" customWidth="1"/>
    <col min="35" max="35" width="16.85546875" style="1" customWidth="1"/>
    <col min="36" max="36" width="14.85546875" style="1" customWidth="1"/>
    <col min="37" max="37" width="77.28515625" style="1" customWidth="1"/>
    <col min="38" max="38" width="21" style="1" customWidth="1"/>
    <col min="39" max="16384" width="11.42578125" style="1"/>
  </cols>
  <sheetData>
    <row r="1" spans="1:70" ht="16.5" customHeight="1" x14ac:dyDescent="0.3">
      <c r="A1" s="218" t="s">
        <v>139</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20"/>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21"/>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3"/>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67" t="s">
        <v>43</v>
      </c>
      <c r="B4" s="268"/>
      <c r="C4" s="214" t="s">
        <v>223</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67" t="s">
        <v>125</v>
      </c>
      <c r="B5" s="268"/>
      <c r="C5" s="214" t="s">
        <v>221</v>
      </c>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67" t="s">
        <v>44</v>
      </c>
      <c r="B6" s="268"/>
      <c r="C6" s="215" t="s">
        <v>222</v>
      </c>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7"/>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24" t="s">
        <v>134</v>
      </c>
      <c r="B7" s="225"/>
      <c r="C7" s="226"/>
      <c r="D7" s="226"/>
      <c r="E7" s="226"/>
      <c r="F7" s="226"/>
      <c r="G7" s="226"/>
      <c r="H7" s="226"/>
      <c r="I7" s="227"/>
      <c r="J7" s="228" t="s">
        <v>135</v>
      </c>
      <c r="K7" s="226"/>
      <c r="L7" s="226"/>
      <c r="M7" s="226"/>
      <c r="N7" s="226"/>
      <c r="O7" s="226"/>
      <c r="P7" s="227"/>
      <c r="Q7" s="228" t="s">
        <v>136</v>
      </c>
      <c r="R7" s="226"/>
      <c r="S7" s="226"/>
      <c r="T7" s="226"/>
      <c r="U7" s="226"/>
      <c r="V7" s="226"/>
      <c r="W7" s="226"/>
      <c r="X7" s="226"/>
      <c r="Y7" s="227"/>
      <c r="Z7" s="228" t="s">
        <v>137</v>
      </c>
      <c r="AA7" s="226"/>
      <c r="AB7" s="226"/>
      <c r="AC7" s="226"/>
      <c r="AD7" s="226"/>
      <c r="AE7" s="226"/>
      <c r="AF7" s="227"/>
      <c r="AG7" s="228" t="s">
        <v>34</v>
      </c>
      <c r="AH7" s="226"/>
      <c r="AI7" s="226"/>
      <c r="AJ7" s="226"/>
      <c r="AK7" s="226"/>
      <c r="AL7" s="227"/>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69" t="s">
        <v>0</v>
      </c>
      <c r="B8" s="279" t="s">
        <v>2</v>
      </c>
      <c r="C8" s="266" t="s">
        <v>3</v>
      </c>
      <c r="D8" s="266" t="s">
        <v>42</v>
      </c>
      <c r="E8" s="265" t="s">
        <v>203</v>
      </c>
      <c r="F8" s="271" t="s">
        <v>1</v>
      </c>
      <c r="G8" s="137"/>
      <c r="H8" s="265" t="s">
        <v>50</v>
      </c>
      <c r="I8" s="266" t="s">
        <v>130</v>
      </c>
      <c r="J8" s="276" t="s">
        <v>33</v>
      </c>
      <c r="K8" s="277" t="s">
        <v>5</v>
      </c>
      <c r="L8" s="265" t="s">
        <v>86</v>
      </c>
      <c r="M8" s="265" t="s">
        <v>91</v>
      </c>
      <c r="N8" s="278" t="s">
        <v>45</v>
      </c>
      <c r="O8" s="277" t="s">
        <v>5</v>
      </c>
      <c r="P8" s="266" t="s">
        <v>48</v>
      </c>
      <c r="Q8" s="273" t="s">
        <v>11</v>
      </c>
      <c r="R8" s="264" t="s">
        <v>152</v>
      </c>
      <c r="S8" s="265" t="s">
        <v>12</v>
      </c>
      <c r="T8" s="264" t="s">
        <v>8</v>
      </c>
      <c r="U8" s="264"/>
      <c r="V8" s="264"/>
      <c r="W8" s="264"/>
      <c r="X8" s="264"/>
      <c r="Y8" s="264"/>
      <c r="Z8" s="275" t="s">
        <v>133</v>
      </c>
      <c r="AA8" s="275" t="s">
        <v>46</v>
      </c>
      <c r="AB8" s="275" t="s">
        <v>5</v>
      </c>
      <c r="AC8" s="275" t="s">
        <v>47</v>
      </c>
      <c r="AD8" s="275" t="s">
        <v>5</v>
      </c>
      <c r="AE8" s="275" t="s">
        <v>49</v>
      </c>
      <c r="AF8" s="273" t="s">
        <v>29</v>
      </c>
      <c r="AG8" s="264" t="s">
        <v>34</v>
      </c>
      <c r="AH8" s="264" t="s">
        <v>35</v>
      </c>
      <c r="AI8" s="264" t="s">
        <v>36</v>
      </c>
      <c r="AJ8" s="264" t="s">
        <v>38</v>
      </c>
      <c r="AK8" s="265" t="s">
        <v>37</v>
      </c>
      <c r="AL8" s="264"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70"/>
      <c r="B9" s="279"/>
      <c r="C9" s="264"/>
      <c r="D9" s="264"/>
      <c r="E9" s="276"/>
      <c r="F9" s="272"/>
      <c r="G9" s="137" t="s">
        <v>204</v>
      </c>
      <c r="H9" s="266"/>
      <c r="I9" s="264"/>
      <c r="J9" s="266"/>
      <c r="K9" s="228"/>
      <c r="L9" s="266"/>
      <c r="M9" s="266"/>
      <c r="N9" s="228"/>
      <c r="O9" s="228"/>
      <c r="P9" s="264"/>
      <c r="Q9" s="274"/>
      <c r="R9" s="264"/>
      <c r="S9" s="266"/>
      <c r="T9" s="7" t="s">
        <v>13</v>
      </c>
      <c r="U9" s="7" t="s">
        <v>17</v>
      </c>
      <c r="V9" s="7" t="s">
        <v>28</v>
      </c>
      <c r="W9" s="7" t="s">
        <v>18</v>
      </c>
      <c r="X9" s="7" t="s">
        <v>21</v>
      </c>
      <c r="Y9" s="7" t="s">
        <v>24</v>
      </c>
      <c r="Z9" s="275"/>
      <c r="AA9" s="275"/>
      <c r="AB9" s="275"/>
      <c r="AC9" s="275"/>
      <c r="AD9" s="275"/>
      <c r="AE9" s="275"/>
      <c r="AF9" s="274"/>
      <c r="AG9" s="264"/>
      <c r="AH9" s="264"/>
      <c r="AI9" s="264"/>
      <c r="AJ9" s="264"/>
      <c r="AK9" s="266"/>
      <c r="AL9" s="264"/>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61.5" customHeight="1" x14ac:dyDescent="0.25">
      <c r="A10" s="238">
        <v>1</v>
      </c>
      <c r="B10" s="206" t="s">
        <v>129</v>
      </c>
      <c r="C10" s="206" t="s">
        <v>216</v>
      </c>
      <c r="D10" s="286" t="s">
        <v>225</v>
      </c>
      <c r="E10" s="147" t="s">
        <v>217</v>
      </c>
      <c r="F10" s="263" t="s">
        <v>224</v>
      </c>
      <c r="G10" s="263" t="s">
        <v>219</v>
      </c>
      <c r="H10" s="280" t="s">
        <v>118</v>
      </c>
      <c r="I10" s="196">
        <v>360</v>
      </c>
      <c r="J10" s="283" t="str">
        <f>IF(I10&lt;=0,"",IF(I10&lt;=2,"Muy Baja",IF(I10&lt;=24,"Baja",IF(I10&lt;=500,"Media",IF(I10&lt;=5000,"Alta","Muy Alta")))))</f>
        <v>Media</v>
      </c>
      <c r="K10" s="290">
        <f>IF(J10="","",IF(J10="Muy Baja",0.2,IF(J10="Baja",0.4,IF(J10="Media",0.6,IF(J10="Alta",0.8,IF(J10="Muy Alta",1,))))))</f>
        <v>0.6</v>
      </c>
      <c r="L10" s="292" t="s">
        <v>145</v>
      </c>
      <c r="M10" s="290"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83"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90">
        <f ca="1">IF(N10="","",IF(N10="Leve",0.2,IF(N10="Menor",0.4,IF(N10="Moderado",0.6,IF(N10="Mayor",0.8,IF(N10="Catastrófico",1,))))))</f>
        <v>0.6</v>
      </c>
      <c r="P10" s="288"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2">
        <v>1</v>
      </c>
      <c r="R10" s="208" t="s">
        <v>227</v>
      </c>
      <c r="S10" s="210" t="str">
        <f>IF(OR(T10="Preventivo",T10="Detectivo"),"Probabilidad",IF(T10="Correctivo","Impacto",""))</f>
        <v>Probabilidad</v>
      </c>
      <c r="T10" s="204" t="s">
        <v>14</v>
      </c>
      <c r="U10" s="204" t="s">
        <v>9</v>
      </c>
      <c r="V10" s="200" t="str">
        <f>IF(AND(T10="Preventivo",U10="Automático"),"50%",IF(AND(T10="Preventivo",U10="Manual"),"40%",IF(AND(T10="Detectivo",U10="Automático"),"40%",IF(AND(T10="Detectivo",U10="Manual"),"30%",IF(AND(T10="Correctivo",U10="Automático"),"35%",IF(AND(T10="Correctivo",U10="Manual"),"25%",""))))))</f>
        <v>40%</v>
      </c>
      <c r="W10" s="204" t="s">
        <v>19</v>
      </c>
      <c r="X10" s="204" t="s">
        <v>22</v>
      </c>
      <c r="Y10" s="204" t="s">
        <v>114</v>
      </c>
      <c r="Z10" s="212">
        <f>IFERROR(IF(S10="Probabilidad",(K10-(+K10*V10)),IF(S10="Impacto",K10,"")),"")</f>
        <v>0.36</v>
      </c>
      <c r="AA10" s="198" t="str">
        <f>IFERROR(IF(Z10="","",IF(Z10&lt;=0.2,"Muy Baja",IF(Z10&lt;=0.4,"Baja",IF(Z10&lt;=0.6,"Media",IF(Z10&lt;=0.8,"Alta","Muy Alta"))))),"")</f>
        <v>Baja</v>
      </c>
      <c r="AB10" s="200">
        <f>+Z10</f>
        <v>0.36</v>
      </c>
      <c r="AC10" s="198" t="str">
        <f ca="1">IFERROR(IF(AD10="","",IF(AD10&lt;=0.2,"Leve",IF(AD10&lt;=0.4,"Menor",IF(AD10&lt;=0.6,"Moderado",IF(AD10&lt;=0.8,"Mayor","Catastrófico"))))),"")</f>
        <v>Moderado</v>
      </c>
      <c r="AD10" s="200">
        <f ca="1">IFERROR(IF(S10="Impacto",(O10-(+O10*V10)),IF(S10="Probabilidad",O10,"")),"")</f>
        <v>0.6</v>
      </c>
      <c r="AE10" s="202"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204" t="s">
        <v>131</v>
      </c>
      <c r="AG10" s="206" t="s">
        <v>226</v>
      </c>
      <c r="AH10" s="206" t="s">
        <v>220</v>
      </c>
      <c r="AI10" s="193">
        <v>44927</v>
      </c>
      <c r="AJ10" s="193">
        <v>44988</v>
      </c>
      <c r="AK10" s="195" t="s">
        <v>228</v>
      </c>
      <c r="AL10" s="196"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292.5" customHeight="1" x14ac:dyDescent="0.3">
      <c r="A11" s="239"/>
      <c r="B11" s="285"/>
      <c r="C11" s="285"/>
      <c r="D11" s="287"/>
      <c r="E11" s="147" t="s">
        <v>218</v>
      </c>
      <c r="F11" s="263"/>
      <c r="G11" s="263"/>
      <c r="H11" s="281"/>
      <c r="I11" s="282"/>
      <c r="J11" s="284"/>
      <c r="K11" s="291"/>
      <c r="L11" s="293"/>
      <c r="M11" s="291">
        <f ca="1">IF(NOT(ISERROR(MATCH(L11,_xlfn.ANCHORARRAY(F15),0))),K17&amp;"Por favor no seleccionar los criterios de impacto",L11)</f>
        <v>0</v>
      </c>
      <c r="N11" s="284"/>
      <c r="O11" s="291"/>
      <c r="P11" s="289"/>
      <c r="Q11" s="102">
        <v>2</v>
      </c>
      <c r="R11" s="209"/>
      <c r="S11" s="211"/>
      <c r="T11" s="205"/>
      <c r="U11" s="205"/>
      <c r="V11" s="201"/>
      <c r="W11" s="205"/>
      <c r="X11" s="205"/>
      <c r="Y11" s="205"/>
      <c r="Z11" s="213"/>
      <c r="AA11" s="199"/>
      <c r="AB11" s="201"/>
      <c r="AC11" s="199"/>
      <c r="AD11" s="201"/>
      <c r="AE11" s="203"/>
      <c r="AF11" s="205"/>
      <c r="AG11" s="207"/>
      <c r="AH11" s="207"/>
      <c r="AI11" s="194"/>
      <c r="AJ11" s="194"/>
      <c r="AK11" s="194"/>
      <c r="AL11" s="197"/>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51" hidden="1" customHeight="1" x14ac:dyDescent="0.3">
      <c r="A12" s="238">
        <v>2</v>
      </c>
      <c r="B12" s="241"/>
      <c r="C12" s="241"/>
      <c r="D12" s="256"/>
      <c r="E12" s="138"/>
      <c r="F12" s="263"/>
      <c r="G12" s="139"/>
      <c r="H12" s="260"/>
      <c r="I12" s="247"/>
      <c r="J12" s="250" t="str">
        <f>IF(I12&lt;=0,"",IF(I12&lt;=2,"Muy Baja",IF(I12&lt;=24,"Baja",IF(I12&lt;=500,"Media",IF(I12&lt;=5000,"Alta","Muy Alta")))))</f>
        <v/>
      </c>
      <c r="K12" s="232" t="str">
        <f>IF(J12="","",IF(J12="Muy Baja",0.2,IF(J12="Baja",0.4,IF(J12="Media",0.6,IF(J12="Alta",0.8,IF(J12="Muy Alta",1,))))))</f>
        <v/>
      </c>
      <c r="L12" s="253"/>
      <c r="M12" s="232">
        <f ca="1">IF(NOT(ISERROR(MATCH(L12,'Tabla Impacto'!$B$221:$B$223,0))),'Tabla Impacto'!$F$223&amp;"Por favor no seleccionar los criterios de impacto(Afectación Económica o presupuestal y Pérdida Reputacional)",L12)</f>
        <v>0</v>
      </c>
      <c r="N12" s="250" t="str">
        <f ca="1">IF(OR(M12='Tabla Impacto'!$C$11,M12='Tabla Impacto'!$D$11),"Leve",IF(OR(M12='Tabla Impacto'!$C$12,M12='Tabla Impacto'!$D$12),"Menor",IF(OR(M12='Tabla Impacto'!$C$13,M12='Tabla Impacto'!$D$13),"Moderado",IF(OR(M12='Tabla Impacto'!$C$14,M12='Tabla Impacto'!$D$14),"Mayor",IF(OR(M12='Tabla Impacto'!$C$15,M12='Tabla Impacto'!$D$15),"Catastrófico","")))))</f>
        <v/>
      </c>
      <c r="O12" s="232" t="str">
        <f ca="1">IF(N12="","",IF(N12="Leve",0.2,IF(N12="Menor",0.4,IF(N12="Moderado",0.6,IF(N12="Mayor",0.8,IF(N12="Catastrófico",1,))))))</f>
        <v/>
      </c>
      <c r="P12" s="235" t="str">
        <f ca="1">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
      </c>
      <c r="Q12" s="102">
        <v>1</v>
      </c>
      <c r="R12" s="103"/>
      <c r="S12" s="104" t="str">
        <f t="shared" ref="S12:S17" si="0">IF(OR(T12="Preventivo",T12="Detectivo"),"Probabilidad",IF(T12="Correctivo","Impacto",""))</f>
        <v/>
      </c>
      <c r="T12" s="116"/>
      <c r="U12" s="116"/>
      <c r="V12" s="117" t="str">
        <f>IF(AND(T12="Preventivo",U12="Automático"),"50%",IF(AND(T12="Preventivo",U12="Manual"),"40%",IF(AND(T12="Detectivo",U12="Automático"),"40%",IF(AND(T12="Detectivo",U12="Manual"),"30%",IF(AND(T12="Correctivo",U12="Automático"),"35%",IF(AND(T12="Correctivo",U12="Manual"),"25%",""))))))</f>
        <v/>
      </c>
      <c r="W12" s="116"/>
      <c r="X12" s="116"/>
      <c r="Y12" s="116"/>
      <c r="Z12" s="107" t="str">
        <f>IFERROR(IF(S12="Probabilidad",(K12-(+K12*V12)),IF(S12="Impacto",K12,"")),"")</f>
        <v/>
      </c>
      <c r="AA12" s="118" t="str">
        <f>IFERROR(IF(Z12="","",IF(Z12&lt;=0.2,"Muy Baja",IF(Z12&lt;=0.4,"Baja",IF(Z12&lt;=0.6,"Media",IF(Z12&lt;=0.8,"Alta","Muy Alta"))))),"")</f>
        <v/>
      </c>
      <c r="AB12" s="119" t="str">
        <f>+Z12</f>
        <v/>
      </c>
      <c r="AC12" s="118" t="str">
        <f>IFERROR(IF(AD12="","",IF(AD12&lt;=0.2,"Leve",IF(AD12&lt;=0.4,"Menor",IF(AD12&lt;=0.6,"Moderado",IF(AD12&lt;=0.8,"Mayor","Catastrófico"))))),"")</f>
        <v/>
      </c>
      <c r="AD12" s="119" t="str">
        <f>IFERROR(IF(S12="Impacto",(O12-(+O12*V12)),IF(S12="Probabilidad",O12,"")),"")</f>
        <v/>
      </c>
      <c r="AE12" s="120" t="str">
        <f>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11"/>
      <c r="AG12" s="112"/>
      <c r="AH12" s="113"/>
      <c r="AI12" s="114"/>
      <c r="AJ12" s="114"/>
      <c r="AK12" s="114"/>
      <c r="AL12" s="113"/>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51" hidden="1" customHeight="1" x14ac:dyDescent="0.3">
      <c r="A13" s="239"/>
      <c r="B13" s="242"/>
      <c r="C13" s="242"/>
      <c r="D13" s="257"/>
      <c r="E13" s="138"/>
      <c r="F13" s="263"/>
      <c r="G13" s="139"/>
      <c r="H13" s="261"/>
      <c r="I13" s="248"/>
      <c r="J13" s="251"/>
      <c r="K13" s="233"/>
      <c r="L13" s="254"/>
      <c r="M13" s="233">
        <f ca="1">IF(NOT(ISERROR(MATCH(L13,_xlfn.ANCHORARRAY(F21),0))),K23&amp;"Por favor no seleccionar los criterios de impacto",L13)</f>
        <v>0</v>
      </c>
      <c r="N13" s="251"/>
      <c r="O13" s="233"/>
      <c r="P13" s="236"/>
      <c r="Q13" s="102">
        <v>2</v>
      </c>
      <c r="R13" s="103"/>
      <c r="S13" s="104" t="str">
        <f t="shared" si="0"/>
        <v/>
      </c>
      <c r="T13" s="116"/>
      <c r="U13" s="116"/>
      <c r="V13" s="117" t="str">
        <f t="shared" ref="V13:V14" si="1">IF(AND(T13="Preventivo",U13="Automático"),"50%",IF(AND(T13="Preventivo",U13="Manual"),"40%",IF(AND(T13="Detectivo",U13="Automático"),"40%",IF(AND(T13="Detectivo",U13="Manual"),"30%",IF(AND(T13="Correctivo",U13="Automático"),"35%",IF(AND(T13="Correctivo",U13="Manual"),"25%",""))))))</f>
        <v/>
      </c>
      <c r="W13" s="116"/>
      <c r="X13" s="116"/>
      <c r="Y13" s="116"/>
      <c r="Z13" s="107" t="str">
        <f>IFERROR(IF(AND(S12="Probabilidad",S13="Probabilidad"),(AB12-(+AB12*V13)),IF(AND(S12="Impacto",S13="Probabilidad"),(#REF!-(+#REF!*V13)),IF(S13="Impacto",AB12,""))),"")</f>
        <v/>
      </c>
      <c r="AA13" s="118" t="str">
        <f t="shared" ref="AA13:AA14" si="2">IFERROR(IF(Z13="","",IF(Z13&lt;=0.2,"Muy Baja",IF(Z13&lt;=0.4,"Baja",IF(Z13&lt;=0.6,"Media",IF(Z13&lt;=0.8,"Alta","Muy Alta"))))),"")</f>
        <v/>
      </c>
      <c r="AB13" s="119" t="str">
        <f t="shared" ref="AB13:AB14" si="3">+Z13</f>
        <v/>
      </c>
      <c r="AC13" s="118" t="str">
        <f t="shared" ref="AC13:AC14" si="4">IFERROR(IF(AD13="","",IF(AD13&lt;=0.2,"Leve",IF(AD13&lt;=0.4,"Menor",IF(AD13&lt;=0.6,"Moderado",IF(AD13&lt;=0.8,"Mayor","Catastrófico"))))),"")</f>
        <v/>
      </c>
      <c r="AD13" s="119" t="str">
        <f>IFERROR(IF(AND(S12="Impacto",S13="Impacto"),(AD12-(+AD12*V13)),IF(AND(S12="Probabilidad",S13="Impacto"),(#REF!-(+#REF!*V13)),IF(S13="Probabilidad",AD12,""))),"")</f>
        <v/>
      </c>
      <c r="AE13" s="120" t="str">
        <f t="shared" ref="AE13:AE14" si="5">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11"/>
      <c r="AG13" s="112"/>
      <c r="AH13" s="113"/>
      <c r="AI13" s="114"/>
      <c r="AJ13" s="114"/>
      <c r="AK13" s="114"/>
      <c r="AL13" s="113"/>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51" hidden="1" customHeight="1" x14ac:dyDescent="0.3">
      <c r="A14" s="239"/>
      <c r="B14" s="242"/>
      <c r="C14" s="242"/>
      <c r="D14" s="257"/>
      <c r="E14" s="138"/>
      <c r="F14" s="263"/>
      <c r="G14" s="139"/>
      <c r="H14" s="261"/>
      <c r="I14" s="248"/>
      <c r="J14" s="251"/>
      <c r="K14" s="233"/>
      <c r="L14" s="254"/>
      <c r="M14" s="233">
        <f ca="1">IF(NOT(ISERROR(MATCH(L14,_xlfn.ANCHORARRAY(F22),0))),K24&amp;"Por favor no seleccionar los criterios de impacto",L14)</f>
        <v>0</v>
      </c>
      <c r="N14" s="251"/>
      <c r="O14" s="233"/>
      <c r="P14" s="236"/>
      <c r="Q14" s="102">
        <v>3</v>
      </c>
      <c r="R14" s="115"/>
      <c r="S14" s="104" t="str">
        <f t="shared" si="0"/>
        <v/>
      </c>
      <c r="T14" s="116"/>
      <c r="U14" s="116"/>
      <c r="V14" s="117" t="str">
        <f t="shared" si="1"/>
        <v/>
      </c>
      <c r="W14" s="116"/>
      <c r="X14" s="116"/>
      <c r="Y14" s="116"/>
      <c r="Z14" s="107" t="str">
        <f t="shared" ref="Z14" si="6">IFERROR(IF(AND(S13="Probabilidad",S14="Probabilidad"),(AB13-(+AB13*V14)),IF(AND(S13="Impacto",S14="Probabilidad"),(AB12-(+AB12*V14)),IF(S14="Impacto",AB13,""))),"")</f>
        <v/>
      </c>
      <c r="AA14" s="118" t="str">
        <f t="shared" si="2"/>
        <v/>
      </c>
      <c r="AB14" s="119" t="str">
        <f t="shared" si="3"/>
        <v/>
      </c>
      <c r="AC14" s="118" t="str">
        <f t="shared" si="4"/>
        <v/>
      </c>
      <c r="AD14" s="119" t="str">
        <f t="shared" ref="AD14" si="7">IFERROR(IF(AND(S13="Impacto",S14="Impacto"),(AD13-(+AD13*V14)),IF(AND(S13="Probabilidad",S14="Impacto"),(AD12-(+AD12*V14)),IF(S14="Probabilidad",AD13,""))),"")</f>
        <v/>
      </c>
      <c r="AE14" s="120" t="str">
        <f t="shared" si="5"/>
        <v/>
      </c>
      <c r="AF14" s="111"/>
      <c r="AG14" s="112"/>
      <c r="AH14" s="113"/>
      <c r="AI14" s="114"/>
      <c r="AJ14" s="114"/>
      <c r="AK14" s="114"/>
      <c r="AL14" s="113"/>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30.75" hidden="1" customHeight="1" x14ac:dyDescent="0.3">
      <c r="A15" s="238">
        <v>3</v>
      </c>
      <c r="B15" s="241"/>
      <c r="C15" s="241"/>
      <c r="D15" s="256"/>
      <c r="E15" s="138"/>
      <c r="F15" s="259"/>
      <c r="G15" s="139"/>
      <c r="H15" s="260"/>
      <c r="I15" s="247"/>
      <c r="J15" s="250" t="str">
        <f t="shared" ref="J15" si="8">IF(I15&lt;=0,"",IF(I15&lt;=2,"Muy Baja",IF(I15&lt;=24,"Baja",IF(I15&lt;=500,"Media",IF(I15&lt;=5000,"Alta","Muy Alta")))))</f>
        <v/>
      </c>
      <c r="K15" s="232" t="str">
        <f t="shared" ref="K15" si="9">IF(J15="","",IF(J15="Muy Baja",0.2,IF(J15="Baja",0.4,IF(J15="Media",0.6,IF(J15="Alta",0.8,IF(J15="Muy Alta",1,))))))</f>
        <v/>
      </c>
      <c r="L15" s="253"/>
      <c r="M15" s="232">
        <f ca="1">IF(NOT(ISERROR(MATCH(L15,'Tabla Impacto'!$B$221:$B$223,0))),'Tabla Impacto'!$F$223&amp;"Por favor no seleccionar los criterios de impacto(Afectación Económica o presupuestal y Pérdida Reputacional)",L15)</f>
        <v>0</v>
      </c>
      <c r="N15" s="250" t="str">
        <f ca="1">IF(OR(M15='Tabla Impacto'!$C$11,M15='Tabla Impacto'!$D$11),"Leve",IF(OR(M15='Tabla Impacto'!$C$12,M15='Tabla Impacto'!$D$12),"Menor",IF(OR(M15='Tabla Impacto'!$C$13,M15='Tabla Impacto'!$D$13),"Moderado",IF(OR(M15='Tabla Impacto'!$C$14,M15='Tabla Impacto'!$D$14),"Mayor",IF(OR(M15='Tabla Impacto'!$C$15,M15='Tabla Impacto'!$D$15),"Catastrófico","")))))</f>
        <v/>
      </c>
      <c r="O15" s="232" t="str">
        <f t="shared" ref="O15" ca="1" si="10">IF(N15="","",IF(N15="Leve",0.2,IF(N15="Menor",0.4,IF(N15="Moderado",0.6,IF(N15="Mayor",0.8,IF(N15="Catastrófico",1,))))))</f>
        <v/>
      </c>
      <c r="P15" s="235" t="str">
        <f t="shared" ref="P15" ca="1" si="1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
      </c>
      <c r="Q15" s="102">
        <v>1</v>
      </c>
      <c r="R15" s="103"/>
      <c r="S15" s="104" t="str">
        <f t="shared" si="0"/>
        <v/>
      </c>
      <c r="T15" s="105"/>
      <c r="U15" s="105"/>
      <c r="V15" s="106" t="str">
        <f>IF(AND(T15="Preventivo",U15="Automático"),"50%",IF(AND(T15="Preventivo",U15="Manual"),"40%",IF(AND(T15="Detectivo",U15="Automático"),"40%",IF(AND(T15="Detectivo",U15="Manual"),"30%",IF(AND(T15="Correctivo",U15="Automático"),"35%",IF(AND(T15="Correctivo",U15="Manual"),"25%",""))))))</f>
        <v/>
      </c>
      <c r="W15" s="105"/>
      <c r="X15" s="105"/>
      <c r="Y15" s="105"/>
      <c r="Z15" s="107" t="str">
        <f>IFERROR(IF(S15="Probabilidad",(K15-(+K15*V15)),IF(S15="Impacto",K15,"")),"")</f>
        <v/>
      </c>
      <c r="AA15" s="108" t="str">
        <f>IFERROR(IF(Z15="","",IF(Z15&lt;=0.2,"Muy Baja",IF(Z15&lt;=0.4,"Baja",IF(Z15&lt;=0.6,"Media",IF(Z15&lt;=0.8,"Alta","Muy Alta"))))),"")</f>
        <v/>
      </c>
      <c r="AB15" s="109" t="str">
        <f>+Z15</f>
        <v/>
      </c>
      <c r="AC15" s="108" t="str">
        <f>IFERROR(IF(AD15="","",IF(AD15&lt;=0.2,"Leve",IF(AD15&lt;=0.4,"Menor",IF(AD15&lt;=0.6,"Moderado",IF(AD15&lt;=0.8,"Mayor","Catastrófico"))))),"")</f>
        <v/>
      </c>
      <c r="AD15" s="109" t="str">
        <f>IFERROR(IF(S15="Impacto",(O15-(+O15*V15)),IF(S15="Probabilidad",O15,"")),"")</f>
        <v/>
      </c>
      <c r="AE15" s="110" t="str">
        <f>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111"/>
      <c r="AG15" s="112"/>
      <c r="AH15" s="113"/>
      <c r="AI15" s="114"/>
      <c r="AJ15" s="114"/>
      <c r="AK15" s="114"/>
      <c r="AL15" s="113"/>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6.25" hidden="1" customHeight="1" x14ac:dyDescent="0.3">
      <c r="A16" s="239"/>
      <c r="B16" s="242"/>
      <c r="C16" s="242"/>
      <c r="D16" s="257"/>
      <c r="E16" s="138"/>
      <c r="F16" s="259"/>
      <c r="G16" s="139"/>
      <c r="H16" s="261"/>
      <c r="I16" s="248"/>
      <c r="J16" s="251"/>
      <c r="K16" s="233"/>
      <c r="L16" s="254"/>
      <c r="M16" s="233">
        <f ca="1">IF(NOT(ISERROR(MATCH(L16,_xlfn.ANCHORARRAY(F27),0))),K29&amp;"Por favor no seleccionar los criterios de impacto",L16)</f>
        <v>0</v>
      </c>
      <c r="N16" s="251"/>
      <c r="O16" s="233"/>
      <c r="P16" s="236"/>
      <c r="Q16" s="102">
        <v>2</v>
      </c>
      <c r="R16" s="103"/>
      <c r="S16" s="104" t="str">
        <f t="shared" si="0"/>
        <v/>
      </c>
      <c r="T16" s="105"/>
      <c r="U16" s="105"/>
      <c r="V16" s="106" t="str">
        <f t="shared" ref="V16:V20" si="12">IF(AND(T16="Preventivo",U16="Automático"),"50%",IF(AND(T16="Preventivo",U16="Manual"),"40%",IF(AND(T16="Detectivo",U16="Automático"),"40%",IF(AND(T16="Detectivo",U16="Manual"),"30%",IF(AND(T16="Correctivo",U16="Automático"),"35%",IF(AND(T16="Correctivo",U16="Manual"),"25%",""))))))</f>
        <v/>
      </c>
      <c r="W16" s="105"/>
      <c r="X16" s="105"/>
      <c r="Y16" s="105"/>
      <c r="Z16" s="107" t="str">
        <f>IFERROR(IF(AND(S15="Probabilidad",S16="Probabilidad"),(AB15-(+AB15*V16)),IF(AND(S15="Impacto",S16="Probabilidad"),(#REF!-(+#REF!*V16)),IF(S16="Impacto",AB15,""))),"")</f>
        <v/>
      </c>
      <c r="AA16" s="108" t="str">
        <f t="shared" ref="AA16:AA20" si="13">IFERROR(IF(Z16="","",IF(Z16&lt;=0.2,"Muy Baja",IF(Z16&lt;=0.4,"Baja",IF(Z16&lt;=0.6,"Media",IF(Z16&lt;=0.8,"Alta","Muy Alta"))))),"")</f>
        <v/>
      </c>
      <c r="AB16" s="109" t="str">
        <f t="shared" ref="AB16:AB20" si="14">+Z16</f>
        <v/>
      </c>
      <c r="AC16" s="108" t="str">
        <f t="shared" ref="AC16:AC20" si="15">IFERROR(IF(AD16="","",IF(AD16&lt;=0.2,"Leve",IF(AD16&lt;=0.4,"Menor",IF(AD16&lt;=0.6,"Moderado",IF(AD16&lt;=0.8,"Mayor","Catastrófico"))))),"")</f>
        <v/>
      </c>
      <c r="AD16" s="109" t="str">
        <f>IFERROR(IF(AND(S15="Impacto",S16="Impacto"),(AD15-(+AD15*V16)),IF(AND(S15="Probabilidad",S16="Impacto"),(#REF!-(+#REF!*V16)),IF(S16="Probabilidad",AD15,""))),"")</f>
        <v/>
      </c>
      <c r="AE16" s="110" t="str">
        <f t="shared" ref="AE16:AE20" si="16">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1"/>
      <c r="AG16" s="112"/>
      <c r="AH16" s="113"/>
      <c r="AI16" s="114"/>
      <c r="AJ16" s="114"/>
      <c r="AK16" s="114"/>
      <c r="AL16" s="113"/>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6.25" hidden="1" customHeight="1" x14ac:dyDescent="0.3">
      <c r="A17" s="239"/>
      <c r="B17" s="242"/>
      <c r="C17" s="242"/>
      <c r="D17" s="257"/>
      <c r="E17" s="138"/>
      <c r="F17" s="259"/>
      <c r="G17" s="139"/>
      <c r="H17" s="261"/>
      <c r="I17" s="248"/>
      <c r="J17" s="251"/>
      <c r="K17" s="233"/>
      <c r="L17" s="254"/>
      <c r="M17" s="233">
        <f ca="1">IF(NOT(ISERROR(MATCH(L17,_xlfn.ANCHORARRAY(F28),0))),K30&amp;"Por favor no seleccionar los criterios de impacto",L17)</f>
        <v>0</v>
      </c>
      <c r="N17" s="251"/>
      <c r="O17" s="233"/>
      <c r="P17" s="236"/>
      <c r="Q17" s="102">
        <v>3</v>
      </c>
      <c r="R17" s="115"/>
      <c r="S17" s="104" t="str">
        <f t="shared" si="0"/>
        <v/>
      </c>
      <c r="T17" s="105"/>
      <c r="U17" s="105"/>
      <c r="V17" s="106" t="str">
        <f t="shared" si="12"/>
        <v/>
      </c>
      <c r="W17" s="105"/>
      <c r="X17" s="105"/>
      <c r="Y17" s="105"/>
      <c r="Z17" s="107" t="str">
        <f t="shared" ref="Z17:Z20" si="17">IFERROR(IF(AND(S16="Probabilidad",S17="Probabilidad"),(AB16-(+AB16*V17)),IF(AND(S16="Impacto",S17="Probabilidad"),(AB15-(+AB15*V17)),IF(S17="Impacto",AB16,""))),"")</f>
        <v/>
      </c>
      <c r="AA17" s="108" t="str">
        <f t="shared" si="13"/>
        <v/>
      </c>
      <c r="AB17" s="109" t="str">
        <f t="shared" si="14"/>
        <v/>
      </c>
      <c r="AC17" s="108" t="str">
        <f t="shared" si="15"/>
        <v/>
      </c>
      <c r="AD17" s="109" t="str">
        <f t="shared" ref="AD17:AD20" si="18">IFERROR(IF(AND(S16="Impacto",S17="Impacto"),(AD16-(+AD16*V17)),IF(AND(S16="Probabilidad",S17="Impacto"),(AD15-(+AD15*V17)),IF(S17="Probabilidad",AD16,""))),"")</f>
        <v/>
      </c>
      <c r="AE17" s="110" t="str">
        <f t="shared" si="16"/>
        <v/>
      </c>
      <c r="AF17" s="111"/>
      <c r="AG17" s="112"/>
      <c r="AH17" s="113"/>
      <c r="AI17" s="114"/>
      <c r="AJ17" s="114"/>
      <c r="AK17" s="114"/>
      <c r="AL17" s="113"/>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6.25" hidden="1" customHeight="1" x14ac:dyDescent="0.3">
      <c r="A18" s="239"/>
      <c r="B18" s="242"/>
      <c r="C18" s="242"/>
      <c r="D18" s="257"/>
      <c r="E18" s="138"/>
      <c r="F18" s="259"/>
      <c r="G18" s="139"/>
      <c r="H18" s="261"/>
      <c r="I18" s="248"/>
      <c r="J18" s="251"/>
      <c r="K18" s="233"/>
      <c r="L18" s="254"/>
      <c r="M18" s="233">
        <f ca="1">IF(NOT(ISERROR(MATCH(L18,_xlfn.ANCHORARRAY(F29),0))),K31&amp;"Por favor no seleccionar los criterios de impacto",L18)</f>
        <v>0</v>
      </c>
      <c r="N18" s="251"/>
      <c r="O18" s="233"/>
      <c r="P18" s="236"/>
      <c r="Q18" s="102">
        <v>4</v>
      </c>
      <c r="R18" s="103"/>
      <c r="S18" s="104" t="str">
        <f t="shared" ref="S18:S20" si="19">IF(OR(T18="Preventivo",T18="Detectivo"),"Probabilidad",IF(T18="Correctivo","Impacto",""))</f>
        <v/>
      </c>
      <c r="T18" s="105"/>
      <c r="U18" s="105"/>
      <c r="V18" s="106" t="str">
        <f t="shared" si="12"/>
        <v/>
      </c>
      <c r="W18" s="105"/>
      <c r="X18" s="105"/>
      <c r="Y18" s="105"/>
      <c r="Z18" s="107" t="str">
        <f t="shared" si="17"/>
        <v/>
      </c>
      <c r="AA18" s="108" t="str">
        <f t="shared" si="13"/>
        <v/>
      </c>
      <c r="AB18" s="109" t="str">
        <f t="shared" si="14"/>
        <v/>
      </c>
      <c r="AC18" s="108" t="str">
        <f t="shared" si="15"/>
        <v/>
      </c>
      <c r="AD18" s="109" t="str">
        <f t="shared" si="18"/>
        <v/>
      </c>
      <c r="AE18" s="110" t="str">
        <f t="shared" si="16"/>
        <v/>
      </c>
      <c r="AF18" s="111"/>
      <c r="AG18" s="112"/>
      <c r="AH18" s="113"/>
      <c r="AI18" s="114"/>
      <c r="AJ18" s="114"/>
      <c r="AK18" s="114"/>
      <c r="AL18" s="113"/>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hidden="1" customHeight="1" x14ac:dyDescent="0.3">
      <c r="A19" s="239"/>
      <c r="B19" s="242"/>
      <c r="C19" s="242"/>
      <c r="D19" s="257"/>
      <c r="E19" s="138"/>
      <c r="F19" s="259"/>
      <c r="G19" s="139"/>
      <c r="H19" s="261"/>
      <c r="I19" s="248"/>
      <c r="J19" s="251"/>
      <c r="K19" s="233"/>
      <c r="L19" s="254"/>
      <c r="M19" s="233">
        <f ca="1">IF(NOT(ISERROR(MATCH(L19,_xlfn.ANCHORARRAY(F30),0))),K32&amp;"Por favor no seleccionar los criterios de impacto",L19)</f>
        <v>0</v>
      </c>
      <c r="N19" s="251"/>
      <c r="O19" s="233"/>
      <c r="P19" s="236"/>
      <c r="Q19" s="102">
        <v>5</v>
      </c>
      <c r="R19" s="103"/>
      <c r="S19" s="104" t="str">
        <f t="shared" si="19"/>
        <v/>
      </c>
      <c r="T19" s="105"/>
      <c r="U19" s="105"/>
      <c r="V19" s="106" t="str">
        <f t="shared" si="12"/>
        <v/>
      </c>
      <c r="W19" s="105"/>
      <c r="X19" s="105"/>
      <c r="Y19" s="105"/>
      <c r="Z19" s="107" t="str">
        <f t="shared" si="17"/>
        <v/>
      </c>
      <c r="AA19" s="108" t="str">
        <f t="shared" si="13"/>
        <v/>
      </c>
      <c r="AB19" s="109" t="str">
        <f t="shared" si="14"/>
        <v/>
      </c>
      <c r="AC19" s="108" t="str">
        <f t="shared" si="15"/>
        <v/>
      </c>
      <c r="AD19" s="109" t="str">
        <f t="shared" si="18"/>
        <v/>
      </c>
      <c r="AE19" s="110" t="str">
        <f t="shared" si="16"/>
        <v/>
      </c>
      <c r="AF19" s="111"/>
      <c r="AG19" s="112"/>
      <c r="AH19" s="113"/>
      <c r="AI19" s="114"/>
      <c r="AJ19" s="114"/>
      <c r="AK19" s="114"/>
      <c r="AL19" s="113"/>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hidden="1" customHeight="1" x14ac:dyDescent="0.3">
      <c r="A20" s="240"/>
      <c r="B20" s="243"/>
      <c r="C20" s="243"/>
      <c r="D20" s="258"/>
      <c r="E20" s="138"/>
      <c r="F20" s="259"/>
      <c r="G20" s="139"/>
      <c r="H20" s="262"/>
      <c r="I20" s="249"/>
      <c r="J20" s="252"/>
      <c r="K20" s="234"/>
      <c r="L20" s="255"/>
      <c r="M20" s="234">
        <f ca="1">IF(NOT(ISERROR(MATCH(L20,_xlfn.ANCHORARRAY(F31),0))),K33&amp;"Por favor no seleccionar los criterios de impacto",L20)</f>
        <v>0</v>
      </c>
      <c r="N20" s="252"/>
      <c r="O20" s="234"/>
      <c r="P20" s="237"/>
      <c r="Q20" s="102">
        <v>6</v>
      </c>
      <c r="R20" s="103"/>
      <c r="S20" s="104" t="str">
        <f t="shared" si="19"/>
        <v/>
      </c>
      <c r="T20" s="105"/>
      <c r="U20" s="105"/>
      <c r="V20" s="106" t="str">
        <f t="shared" si="12"/>
        <v/>
      </c>
      <c r="W20" s="105"/>
      <c r="X20" s="105"/>
      <c r="Y20" s="105"/>
      <c r="Z20" s="107" t="str">
        <f t="shared" si="17"/>
        <v/>
      </c>
      <c r="AA20" s="108" t="str">
        <f t="shared" si="13"/>
        <v/>
      </c>
      <c r="AB20" s="109" t="str">
        <f t="shared" si="14"/>
        <v/>
      </c>
      <c r="AC20" s="108" t="str">
        <f t="shared" si="15"/>
        <v/>
      </c>
      <c r="AD20" s="109" t="str">
        <f t="shared" si="18"/>
        <v/>
      </c>
      <c r="AE20" s="110" t="str">
        <f t="shared" si="16"/>
        <v/>
      </c>
      <c r="AF20" s="111"/>
      <c r="AG20" s="112"/>
      <c r="AH20" s="113"/>
      <c r="AI20" s="114"/>
      <c r="AJ20" s="114"/>
      <c r="AK20" s="114"/>
      <c r="AL20" s="113"/>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hidden="1" customHeight="1" x14ac:dyDescent="0.3">
      <c r="A21" s="238">
        <v>4</v>
      </c>
      <c r="B21" s="241"/>
      <c r="C21" s="241"/>
      <c r="D21" s="256"/>
      <c r="E21" s="138"/>
      <c r="F21" s="259"/>
      <c r="G21" s="139"/>
      <c r="H21" s="260"/>
      <c r="I21" s="247"/>
      <c r="J21" s="250" t="str">
        <f t="shared" ref="J21" si="20">IF(I21&lt;=0,"",IF(I21&lt;=2,"Muy Baja",IF(I21&lt;=24,"Baja",IF(I21&lt;=500,"Media",IF(I21&lt;=5000,"Alta","Muy Alta")))))</f>
        <v/>
      </c>
      <c r="K21" s="232" t="str">
        <f t="shared" ref="K21" si="21">IF(J21="","",IF(J21="Muy Baja",0.2,IF(J21="Baja",0.4,IF(J21="Media",0.6,IF(J21="Alta",0.8,IF(J21="Muy Alta",1,))))))</f>
        <v/>
      </c>
      <c r="L21" s="253"/>
      <c r="M21" s="232">
        <f ca="1">IF(NOT(ISERROR(MATCH(L21,'Tabla Impacto'!$B$221:$B$223,0))),'Tabla Impacto'!$F$223&amp;"Por favor no seleccionar los criterios de impacto(Afectación Económica o presupuestal y Pérdida Reputacional)",L21)</f>
        <v>0</v>
      </c>
      <c r="N21" s="250" t="str">
        <f ca="1">IF(OR(M21='Tabla Impacto'!$C$11,M21='Tabla Impacto'!$D$11),"Leve",IF(OR(M21='Tabla Impacto'!$C$12,M21='Tabla Impacto'!$D$12),"Menor",IF(OR(M21='Tabla Impacto'!$C$13,M21='Tabla Impacto'!$D$13),"Moderado",IF(OR(M21='Tabla Impacto'!$C$14,M21='Tabla Impacto'!$D$14),"Mayor",IF(OR(M21='Tabla Impacto'!$C$15,M21='Tabla Impacto'!$D$15),"Catastrófico","")))))</f>
        <v/>
      </c>
      <c r="O21" s="232" t="str">
        <f t="shared" ref="O21" ca="1" si="22">IF(N21="","",IF(N21="Leve",0.2,IF(N21="Menor",0.4,IF(N21="Moderado",0.6,IF(N21="Mayor",0.8,IF(N21="Catastrófico",1,))))))</f>
        <v/>
      </c>
      <c r="P21" s="235" t="str">
        <f t="shared" ref="P21" ca="1" si="23">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
      </c>
      <c r="Q21" s="102">
        <v>1</v>
      </c>
      <c r="R21" s="103"/>
      <c r="S21" s="104" t="str">
        <f>IF(OR(T21="Preventivo",T21="Detectivo"),"Probabilidad",IF(T21="Correctivo","Impacto",""))</f>
        <v/>
      </c>
      <c r="T21" s="105"/>
      <c r="U21" s="105"/>
      <c r="V21" s="106" t="str">
        <f>IF(AND(T21="Preventivo",U21="Automático"),"50%",IF(AND(T21="Preventivo",U21="Manual"),"40%",IF(AND(T21="Detectivo",U21="Automático"),"40%",IF(AND(T21="Detectivo",U21="Manual"),"30%",IF(AND(T21="Correctivo",U21="Automático"),"35%",IF(AND(T21="Correctivo",U21="Manual"),"25%",""))))))</f>
        <v/>
      </c>
      <c r="W21" s="105"/>
      <c r="X21" s="105"/>
      <c r="Y21" s="105"/>
      <c r="Z21" s="107" t="str">
        <f>IFERROR(IF(S21="Probabilidad",(K21-(+K21*V21)),IF(S21="Impacto",K21,"")),"")</f>
        <v/>
      </c>
      <c r="AA21" s="108" t="str">
        <f>IFERROR(IF(Z21="","",IF(Z21&lt;=0.2,"Muy Baja",IF(Z21&lt;=0.4,"Baja",IF(Z21&lt;=0.6,"Media",IF(Z21&lt;=0.8,"Alta","Muy Alta"))))),"")</f>
        <v/>
      </c>
      <c r="AB21" s="109" t="str">
        <f>+Z21</f>
        <v/>
      </c>
      <c r="AC21" s="108" t="str">
        <f>IFERROR(IF(AD21="","",IF(AD21&lt;=0.2,"Leve",IF(AD21&lt;=0.4,"Menor",IF(AD21&lt;=0.6,"Moderado",IF(AD21&lt;=0.8,"Mayor","Catastrófico"))))),"")</f>
        <v/>
      </c>
      <c r="AD21" s="109" t="str">
        <f>IFERROR(IF(S21="Impacto",(O21-(+O21*V21)),IF(S21="Probabilidad",O21,"")),"")</f>
        <v/>
      </c>
      <c r="AE21" s="110" t="str">
        <f>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11"/>
      <c r="AG21" s="112"/>
      <c r="AH21" s="113"/>
      <c r="AI21" s="114"/>
      <c r="AJ21" s="114"/>
      <c r="AK21" s="114"/>
      <c r="AL21" s="113"/>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hidden="1" customHeight="1" x14ac:dyDescent="0.3">
      <c r="A22" s="239"/>
      <c r="B22" s="242"/>
      <c r="C22" s="242"/>
      <c r="D22" s="257"/>
      <c r="E22" s="138"/>
      <c r="F22" s="259"/>
      <c r="G22" s="139"/>
      <c r="H22" s="261"/>
      <c r="I22" s="248"/>
      <c r="J22" s="251"/>
      <c r="K22" s="233"/>
      <c r="L22" s="254"/>
      <c r="M22" s="233">
        <f ca="1">IF(NOT(ISERROR(MATCH(L22,_xlfn.ANCHORARRAY(F33),0))),K35&amp;"Por favor no seleccionar los criterios de impacto",L22)</f>
        <v>0</v>
      </c>
      <c r="N22" s="251"/>
      <c r="O22" s="233"/>
      <c r="P22" s="236"/>
      <c r="Q22" s="102">
        <v>2</v>
      </c>
      <c r="R22" s="103"/>
      <c r="S22" s="104" t="str">
        <f>IF(OR(T22="Preventivo",T22="Detectivo"),"Probabilidad",IF(T22="Correctivo","Impacto",""))</f>
        <v/>
      </c>
      <c r="T22" s="105"/>
      <c r="U22" s="105"/>
      <c r="V22" s="106" t="str">
        <f t="shared" ref="V22:V26" si="24">IF(AND(T22="Preventivo",U22="Automático"),"50%",IF(AND(T22="Preventivo",U22="Manual"),"40%",IF(AND(T22="Detectivo",U22="Automático"),"40%",IF(AND(T22="Detectivo",U22="Manual"),"30%",IF(AND(T22="Correctivo",U22="Automático"),"35%",IF(AND(T22="Correctivo",U22="Manual"),"25%",""))))))</f>
        <v/>
      </c>
      <c r="W22" s="105"/>
      <c r="X22" s="105"/>
      <c r="Y22" s="105"/>
      <c r="Z22" s="107" t="str">
        <f>IFERROR(IF(AND(S21="Probabilidad",S22="Probabilidad"),(AB21-(+AB21*V22)),IF(AND(S21="Impacto",S22="Probabilidad"),(AB20-(+AB20*V22)),IF(S22="Impacto",AB21,""))),"")</f>
        <v/>
      </c>
      <c r="AA22" s="108" t="str">
        <f t="shared" ref="AA22:AA26" si="25">IFERROR(IF(Z22="","",IF(Z22&lt;=0.2,"Muy Baja",IF(Z22&lt;=0.4,"Baja",IF(Z22&lt;=0.6,"Media",IF(Z22&lt;=0.8,"Alta","Muy Alta"))))),"")</f>
        <v/>
      </c>
      <c r="AB22" s="109" t="str">
        <f t="shared" ref="AB22:AB26" si="26">+Z22</f>
        <v/>
      </c>
      <c r="AC22" s="108" t="str">
        <f t="shared" ref="AC22:AC26" si="27">IFERROR(IF(AD22="","",IF(AD22&lt;=0.2,"Leve",IF(AD22&lt;=0.4,"Menor",IF(AD22&lt;=0.6,"Moderado",IF(AD22&lt;=0.8,"Mayor","Catastrófico"))))),"")</f>
        <v/>
      </c>
      <c r="AD22" s="109" t="str">
        <f>IFERROR(IF(AND(S21="Impacto",S22="Impacto"),(AD21-(+AD21*V22)),IF(AND(S21="Probabilidad",S22="Impacto"),(AD20-(+AD20*V22)),IF(S22="Probabilidad",AD21,""))),"")</f>
        <v/>
      </c>
      <c r="AE22" s="110" t="str">
        <f t="shared" ref="AE22:AE26" si="28">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1"/>
      <c r="AG22" s="112"/>
      <c r="AH22" s="113"/>
      <c r="AI22" s="114"/>
      <c r="AJ22" s="114"/>
      <c r="AK22" s="114"/>
      <c r="AL22" s="113"/>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hidden="1" customHeight="1" x14ac:dyDescent="0.3">
      <c r="A23" s="239"/>
      <c r="B23" s="242"/>
      <c r="C23" s="242"/>
      <c r="D23" s="257"/>
      <c r="E23" s="138"/>
      <c r="F23" s="259"/>
      <c r="G23" s="139"/>
      <c r="H23" s="261"/>
      <c r="I23" s="248"/>
      <c r="J23" s="251"/>
      <c r="K23" s="233"/>
      <c r="L23" s="254"/>
      <c r="M23" s="233">
        <f ca="1">IF(NOT(ISERROR(MATCH(L23,_xlfn.ANCHORARRAY(F34),0))),K36&amp;"Por favor no seleccionar los criterios de impacto",L23)</f>
        <v>0</v>
      </c>
      <c r="N23" s="251"/>
      <c r="O23" s="233"/>
      <c r="P23" s="236"/>
      <c r="Q23" s="102">
        <v>3</v>
      </c>
      <c r="R23" s="115"/>
      <c r="S23" s="104" t="str">
        <f>IF(OR(T23="Preventivo",T23="Detectivo"),"Probabilidad",IF(T23="Correctivo","Impacto",""))</f>
        <v/>
      </c>
      <c r="T23" s="105"/>
      <c r="U23" s="105"/>
      <c r="V23" s="106" t="str">
        <f t="shared" si="24"/>
        <v/>
      </c>
      <c r="W23" s="105"/>
      <c r="X23" s="105"/>
      <c r="Y23" s="105"/>
      <c r="Z23" s="107" t="str">
        <f t="shared" ref="Z23:Z26" si="29">IFERROR(IF(AND(S22="Probabilidad",S23="Probabilidad"),(AB22-(+AB22*V23)),IF(AND(S22="Impacto",S23="Probabilidad"),(AB21-(+AB21*V23)),IF(S23="Impacto",AB22,""))),"")</f>
        <v/>
      </c>
      <c r="AA23" s="108" t="str">
        <f t="shared" si="25"/>
        <v/>
      </c>
      <c r="AB23" s="109" t="str">
        <f t="shared" si="26"/>
        <v/>
      </c>
      <c r="AC23" s="108" t="str">
        <f t="shared" si="27"/>
        <v/>
      </c>
      <c r="AD23" s="109" t="str">
        <f t="shared" ref="AD23:AD26" si="30">IFERROR(IF(AND(S22="Impacto",S23="Impacto"),(AD22-(+AD22*V23)),IF(AND(S22="Probabilidad",S23="Impacto"),(AD21-(+AD21*V23)),IF(S23="Probabilidad",AD22,""))),"")</f>
        <v/>
      </c>
      <c r="AE23" s="110" t="str">
        <f t="shared" si="28"/>
        <v/>
      </c>
      <c r="AF23" s="111"/>
      <c r="AG23" s="112"/>
      <c r="AH23" s="113"/>
      <c r="AI23" s="114"/>
      <c r="AJ23" s="114"/>
      <c r="AK23" s="114"/>
      <c r="AL23" s="113"/>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hidden="1" customHeight="1" x14ac:dyDescent="0.3">
      <c r="A24" s="239"/>
      <c r="B24" s="242"/>
      <c r="C24" s="242"/>
      <c r="D24" s="257"/>
      <c r="E24" s="138"/>
      <c r="F24" s="259"/>
      <c r="G24" s="139"/>
      <c r="H24" s="261"/>
      <c r="I24" s="248"/>
      <c r="J24" s="251"/>
      <c r="K24" s="233"/>
      <c r="L24" s="254"/>
      <c r="M24" s="233">
        <f ca="1">IF(NOT(ISERROR(MATCH(L24,_xlfn.ANCHORARRAY(F35),0))),K37&amp;"Por favor no seleccionar los criterios de impacto",L24)</f>
        <v>0</v>
      </c>
      <c r="N24" s="251"/>
      <c r="O24" s="233"/>
      <c r="P24" s="236"/>
      <c r="Q24" s="102">
        <v>4</v>
      </c>
      <c r="R24" s="103"/>
      <c r="S24" s="104" t="str">
        <f t="shared" ref="S24:S26" si="31">IF(OR(T24="Preventivo",T24="Detectivo"),"Probabilidad",IF(T24="Correctivo","Impacto",""))</f>
        <v/>
      </c>
      <c r="T24" s="105"/>
      <c r="U24" s="105"/>
      <c r="V24" s="106" t="str">
        <f t="shared" si="24"/>
        <v/>
      </c>
      <c r="W24" s="105"/>
      <c r="X24" s="105"/>
      <c r="Y24" s="105"/>
      <c r="Z24" s="107" t="str">
        <f t="shared" si="29"/>
        <v/>
      </c>
      <c r="AA24" s="108" t="str">
        <f t="shared" si="25"/>
        <v/>
      </c>
      <c r="AB24" s="109" t="str">
        <f t="shared" si="26"/>
        <v/>
      </c>
      <c r="AC24" s="108" t="str">
        <f t="shared" si="27"/>
        <v/>
      </c>
      <c r="AD24" s="109" t="str">
        <f t="shared" si="30"/>
        <v/>
      </c>
      <c r="AE24" s="110" t="str">
        <f t="shared" si="28"/>
        <v/>
      </c>
      <c r="AF24" s="111"/>
      <c r="AG24" s="112"/>
      <c r="AH24" s="113"/>
      <c r="AI24" s="114"/>
      <c r="AJ24" s="114"/>
      <c r="AK24" s="114"/>
      <c r="AL24" s="113"/>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hidden="1" customHeight="1" x14ac:dyDescent="0.3">
      <c r="A25" s="239"/>
      <c r="B25" s="242"/>
      <c r="C25" s="242"/>
      <c r="D25" s="257"/>
      <c r="E25" s="138"/>
      <c r="F25" s="259"/>
      <c r="G25" s="139"/>
      <c r="H25" s="261"/>
      <c r="I25" s="248"/>
      <c r="J25" s="251"/>
      <c r="K25" s="233"/>
      <c r="L25" s="254"/>
      <c r="M25" s="233">
        <f ca="1">IF(NOT(ISERROR(MATCH(L25,_xlfn.ANCHORARRAY(F36),0))),K38&amp;"Por favor no seleccionar los criterios de impacto",L25)</f>
        <v>0</v>
      </c>
      <c r="N25" s="251"/>
      <c r="O25" s="233"/>
      <c r="P25" s="236"/>
      <c r="Q25" s="102">
        <v>5</v>
      </c>
      <c r="R25" s="103"/>
      <c r="S25" s="104" t="str">
        <f t="shared" si="31"/>
        <v/>
      </c>
      <c r="T25" s="105"/>
      <c r="U25" s="105"/>
      <c r="V25" s="106" t="str">
        <f t="shared" si="24"/>
        <v/>
      </c>
      <c r="W25" s="105"/>
      <c r="X25" s="105"/>
      <c r="Y25" s="105"/>
      <c r="Z25" s="107" t="str">
        <f t="shared" si="29"/>
        <v/>
      </c>
      <c r="AA25" s="108" t="str">
        <f t="shared" si="25"/>
        <v/>
      </c>
      <c r="AB25" s="109" t="str">
        <f t="shared" si="26"/>
        <v/>
      </c>
      <c r="AC25" s="108" t="str">
        <f t="shared" si="27"/>
        <v/>
      </c>
      <c r="AD25" s="109" t="str">
        <f t="shared" si="30"/>
        <v/>
      </c>
      <c r="AE25" s="110" t="str">
        <f t="shared" si="28"/>
        <v/>
      </c>
      <c r="AF25" s="111"/>
      <c r="AG25" s="112"/>
      <c r="AH25" s="113"/>
      <c r="AI25" s="114"/>
      <c r="AJ25" s="114"/>
      <c r="AK25" s="114"/>
      <c r="AL25" s="113"/>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hidden="1" customHeight="1" x14ac:dyDescent="0.3">
      <c r="A26" s="240"/>
      <c r="B26" s="243"/>
      <c r="C26" s="243"/>
      <c r="D26" s="258"/>
      <c r="E26" s="138"/>
      <c r="F26" s="259"/>
      <c r="G26" s="139"/>
      <c r="H26" s="262"/>
      <c r="I26" s="249"/>
      <c r="J26" s="252"/>
      <c r="K26" s="234"/>
      <c r="L26" s="255"/>
      <c r="M26" s="234">
        <f ca="1">IF(NOT(ISERROR(MATCH(L26,_xlfn.ANCHORARRAY(F37),0))),K39&amp;"Por favor no seleccionar los criterios de impacto",L26)</f>
        <v>0</v>
      </c>
      <c r="N26" s="252"/>
      <c r="O26" s="234"/>
      <c r="P26" s="237"/>
      <c r="Q26" s="102">
        <v>6</v>
      </c>
      <c r="R26" s="103"/>
      <c r="S26" s="104" t="str">
        <f t="shared" si="31"/>
        <v/>
      </c>
      <c r="T26" s="105"/>
      <c r="U26" s="105"/>
      <c r="V26" s="106" t="str">
        <f t="shared" si="24"/>
        <v/>
      </c>
      <c r="W26" s="105"/>
      <c r="X26" s="105"/>
      <c r="Y26" s="105"/>
      <c r="Z26" s="107" t="str">
        <f t="shared" si="29"/>
        <v/>
      </c>
      <c r="AA26" s="108" t="str">
        <f t="shared" si="25"/>
        <v/>
      </c>
      <c r="AB26" s="109" t="str">
        <f t="shared" si="26"/>
        <v/>
      </c>
      <c r="AC26" s="108" t="str">
        <f t="shared" si="27"/>
        <v/>
      </c>
      <c r="AD26" s="109" t="str">
        <f t="shared" si="30"/>
        <v/>
      </c>
      <c r="AE26" s="110" t="str">
        <f t="shared" si="28"/>
        <v/>
      </c>
      <c r="AF26" s="111"/>
      <c r="AG26" s="112"/>
      <c r="AH26" s="113"/>
      <c r="AI26" s="114"/>
      <c r="AJ26" s="114"/>
      <c r="AK26" s="114"/>
      <c r="AL26" s="113"/>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hidden="1" customHeight="1" x14ac:dyDescent="0.3">
      <c r="A27" s="238">
        <v>5</v>
      </c>
      <c r="B27" s="241"/>
      <c r="C27" s="241"/>
      <c r="D27" s="256"/>
      <c r="E27" s="138"/>
      <c r="F27" s="259"/>
      <c r="G27" s="139"/>
      <c r="H27" s="260"/>
      <c r="I27" s="247"/>
      <c r="J27" s="250" t="str">
        <f t="shared" ref="J27" si="32">IF(I27&lt;=0,"",IF(I27&lt;=2,"Muy Baja",IF(I27&lt;=24,"Baja",IF(I27&lt;=500,"Media",IF(I27&lt;=5000,"Alta","Muy Alta")))))</f>
        <v/>
      </c>
      <c r="K27" s="232" t="str">
        <f t="shared" ref="K27" si="33">IF(J27="","",IF(J27="Muy Baja",0.2,IF(J27="Baja",0.4,IF(J27="Media",0.6,IF(J27="Alta",0.8,IF(J27="Muy Alta",1,))))))</f>
        <v/>
      </c>
      <c r="L27" s="253"/>
      <c r="M27" s="232">
        <f ca="1">IF(NOT(ISERROR(MATCH(L27,'Tabla Impacto'!$B$221:$B$223,0))),'Tabla Impacto'!$F$223&amp;"Por favor no seleccionar los criterios de impacto(Afectación Económica o presupuestal y Pérdida Reputacional)",L27)</f>
        <v>0</v>
      </c>
      <c r="N27" s="250" t="str">
        <f ca="1">IF(OR(M27='Tabla Impacto'!$C$11,M27='Tabla Impacto'!$D$11),"Leve",IF(OR(M27='Tabla Impacto'!$C$12,M27='Tabla Impacto'!$D$12),"Menor",IF(OR(M27='Tabla Impacto'!$C$13,M27='Tabla Impacto'!$D$13),"Moderado",IF(OR(M27='Tabla Impacto'!$C$14,M27='Tabla Impacto'!$D$14),"Mayor",IF(OR(M27='Tabla Impacto'!$C$15,M27='Tabla Impacto'!$D$15),"Catastrófico","")))))</f>
        <v/>
      </c>
      <c r="O27" s="232" t="str">
        <f t="shared" ref="O27" ca="1" si="34">IF(N27="","",IF(N27="Leve",0.2,IF(N27="Menor",0.4,IF(N27="Moderado",0.6,IF(N27="Mayor",0.8,IF(N27="Catastrófico",1,))))))</f>
        <v/>
      </c>
      <c r="P27" s="235" t="str">
        <f t="shared" ref="P27" ca="1" si="35">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
      </c>
      <c r="Q27" s="102">
        <v>1</v>
      </c>
      <c r="R27" s="103"/>
      <c r="S27" s="104" t="s">
        <v>215</v>
      </c>
      <c r="T27" s="105"/>
      <c r="U27" s="105"/>
      <c r="V27" s="106" t="s">
        <v>215</v>
      </c>
      <c r="W27" s="105"/>
      <c r="X27" s="105"/>
      <c r="Y27" s="105"/>
      <c r="Z27" s="107" t="s">
        <v>215</v>
      </c>
      <c r="AA27" s="108" t="s">
        <v>215</v>
      </c>
      <c r="AB27" s="109" t="s">
        <v>215</v>
      </c>
      <c r="AC27" s="108" t="s">
        <v>215</v>
      </c>
      <c r="AD27" s="109" t="s">
        <v>215</v>
      </c>
      <c r="AE27" s="110" t="s">
        <v>215</v>
      </c>
      <c r="AF27" s="111"/>
      <c r="AG27" s="112"/>
      <c r="AH27" s="113"/>
      <c r="AI27" s="114"/>
      <c r="AJ27" s="114"/>
      <c r="AK27" s="114"/>
      <c r="AL27" s="113"/>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hidden="1" customHeight="1" x14ac:dyDescent="0.3">
      <c r="A28" s="239"/>
      <c r="B28" s="242"/>
      <c r="C28" s="242"/>
      <c r="D28" s="257"/>
      <c r="E28" s="138"/>
      <c r="F28" s="259"/>
      <c r="G28" s="139"/>
      <c r="H28" s="261"/>
      <c r="I28" s="248"/>
      <c r="J28" s="251"/>
      <c r="K28" s="233"/>
      <c r="L28" s="254"/>
      <c r="M28" s="233">
        <f ca="1">IF(NOT(ISERROR(MATCH(L28,_xlfn.ANCHORARRAY(F39),0))),K41&amp;"Por favor no seleccionar los criterios de impacto",L28)</f>
        <v>0</v>
      </c>
      <c r="N28" s="251"/>
      <c r="O28" s="233"/>
      <c r="P28" s="236"/>
      <c r="Q28" s="102">
        <v>2</v>
      </c>
      <c r="R28" s="103"/>
      <c r="S28" s="104" t="s">
        <v>215</v>
      </c>
      <c r="T28" s="105"/>
      <c r="U28" s="105"/>
      <c r="V28" s="106" t="s">
        <v>215</v>
      </c>
      <c r="W28" s="105"/>
      <c r="X28" s="105"/>
      <c r="Y28" s="105"/>
      <c r="Z28" s="107" t="s">
        <v>215</v>
      </c>
      <c r="AA28" s="108" t="s">
        <v>215</v>
      </c>
      <c r="AB28" s="109" t="s">
        <v>215</v>
      </c>
      <c r="AC28" s="108" t="s">
        <v>215</v>
      </c>
      <c r="AD28" s="109" t="s">
        <v>215</v>
      </c>
      <c r="AE28" s="110" t="s">
        <v>215</v>
      </c>
      <c r="AF28" s="111"/>
      <c r="AG28" s="112"/>
      <c r="AH28" s="113"/>
      <c r="AI28" s="114"/>
      <c r="AJ28" s="114"/>
      <c r="AK28" s="114"/>
      <c r="AL28" s="113"/>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hidden="1" customHeight="1" x14ac:dyDescent="0.3">
      <c r="A29" s="239"/>
      <c r="B29" s="242"/>
      <c r="C29" s="242"/>
      <c r="D29" s="257"/>
      <c r="E29" s="138"/>
      <c r="F29" s="259"/>
      <c r="G29" s="139"/>
      <c r="H29" s="261"/>
      <c r="I29" s="248"/>
      <c r="J29" s="251"/>
      <c r="K29" s="233"/>
      <c r="L29" s="254"/>
      <c r="M29" s="233">
        <f ca="1">IF(NOT(ISERROR(MATCH(L29,_xlfn.ANCHORARRAY(F40),0))),K42&amp;"Por favor no seleccionar los criterios de impacto",L29)</f>
        <v>0</v>
      </c>
      <c r="N29" s="251"/>
      <c r="O29" s="233"/>
      <c r="P29" s="236"/>
      <c r="Q29" s="102">
        <v>3</v>
      </c>
      <c r="R29" s="115"/>
      <c r="S29" s="104" t="s">
        <v>215</v>
      </c>
      <c r="T29" s="105"/>
      <c r="U29" s="105"/>
      <c r="V29" s="106" t="s">
        <v>215</v>
      </c>
      <c r="W29" s="105"/>
      <c r="X29" s="105"/>
      <c r="Y29" s="105"/>
      <c r="Z29" s="107" t="s">
        <v>215</v>
      </c>
      <c r="AA29" s="108" t="s">
        <v>215</v>
      </c>
      <c r="AB29" s="109" t="s">
        <v>215</v>
      </c>
      <c r="AC29" s="108" t="s">
        <v>215</v>
      </c>
      <c r="AD29" s="109" t="s">
        <v>215</v>
      </c>
      <c r="AE29" s="110" t="s">
        <v>215</v>
      </c>
      <c r="AF29" s="111"/>
      <c r="AG29" s="112"/>
      <c r="AH29" s="113"/>
      <c r="AI29" s="114"/>
      <c r="AJ29" s="114"/>
      <c r="AK29" s="114"/>
      <c r="AL29" s="113"/>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hidden="1" customHeight="1" x14ac:dyDescent="0.3">
      <c r="A30" s="239"/>
      <c r="B30" s="242"/>
      <c r="C30" s="242"/>
      <c r="D30" s="257"/>
      <c r="E30" s="138"/>
      <c r="F30" s="259"/>
      <c r="G30" s="139"/>
      <c r="H30" s="261"/>
      <c r="I30" s="248"/>
      <c r="J30" s="251"/>
      <c r="K30" s="233"/>
      <c r="L30" s="254"/>
      <c r="M30" s="233">
        <f ca="1">IF(NOT(ISERROR(MATCH(L30,_xlfn.ANCHORARRAY(F41),0))),K43&amp;"Por favor no seleccionar los criterios de impacto",L30)</f>
        <v>0</v>
      </c>
      <c r="N30" s="251"/>
      <c r="O30" s="233"/>
      <c r="P30" s="236"/>
      <c r="Q30" s="102">
        <v>4</v>
      </c>
      <c r="R30" s="103"/>
      <c r="S30" s="104" t="s">
        <v>215</v>
      </c>
      <c r="T30" s="105"/>
      <c r="U30" s="105"/>
      <c r="V30" s="106" t="s">
        <v>215</v>
      </c>
      <c r="W30" s="105"/>
      <c r="X30" s="105"/>
      <c r="Y30" s="105"/>
      <c r="Z30" s="107" t="s">
        <v>215</v>
      </c>
      <c r="AA30" s="108" t="s">
        <v>215</v>
      </c>
      <c r="AB30" s="109" t="s">
        <v>215</v>
      </c>
      <c r="AC30" s="108" t="s">
        <v>215</v>
      </c>
      <c r="AD30" s="109" t="s">
        <v>215</v>
      </c>
      <c r="AE30" s="110" t="s">
        <v>215</v>
      </c>
      <c r="AF30" s="111"/>
      <c r="AG30" s="112"/>
      <c r="AH30" s="113"/>
      <c r="AI30" s="114"/>
      <c r="AJ30" s="114"/>
      <c r="AK30" s="114"/>
      <c r="AL30" s="113"/>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hidden="1" customHeight="1" x14ac:dyDescent="0.3">
      <c r="A31" s="239"/>
      <c r="B31" s="242"/>
      <c r="C31" s="242"/>
      <c r="D31" s="257"/>
      <c r="E31" s="138"/>
      <c r="F31" s="259"/>
      <c r="G31" s="139"/>
      <c r="H31" s="261"/>
      <c r="I31" s="248"/>
      <c r="J31" s="251"/>
      <c r="K31" s="233"/>
      <c r="L31" s="254"/>
      <c r="M31" s="233">
        <f ca="1">IF(NOT(ISERROR(MATCH(L31,_xlfn.ANCHORARRAY(F42),0))),K44&amp;"Por favor no seleccionar los criterios de impacto",L31)</f>
        <v>0</v>
      </c>
      <c r="N31" s="251"/>
      <c r="O31" s="233"/>
      <c r="P31" s="236"/>
      <c r="Q31" s="102">
        <v>5</v>
      </c>
      <c r="R31" s="103"/>
      <c r="S31" s="104" t="s">
        <v>215</v>
      </c>
      <c r="T31" s="105"/>
      <c r="U31" s="105"/>
      <c r="V31" s="106" t="s">
        <v>215</v>
      </c>
      <c r="W31" s="105"/>
      <c r="X31" s="105"/>
      <c r="Y31" s="105"/>
      <c r="Z31" s="107" t="s">
        <v>215</v>
      </c>
      <c r="AA31" s="108" t="s">
        <v>215</v>
      </c>
      <c r="AB31" s="109" t="s">
        <v>215</v>
      </c>
      <c r="AC31" s="108" t="s">
        <v>215</v>
      </c>
      <c r="AD31" s="109" t="s">
        <v>215</v>
      </c>
      <c r="AE31" s="110" t="s">
        <v>215</v>
      </c>
      <c r="AF31" s="111"/>
      <c r="AG31" s="112"/>
      <c r="AH31" s="113"/>
      <c r="AI31" s="114"/>
      <c r="AJ31" s="114"/>
      <c r="AK31" s="114"/>
      <c r="AL31" s="113"/>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hidden="1" customHeight="1" x14ac:dyDescent="0.3">
      <c r="A32" s="240"/>
      <c r="B32" s="243"/>
      <c r="C32" s="243"/>
      <c r="D32" s="258"/>
      <c r="E32" s="138"/>
      <c r="F32" s="259"/>
      <c r="G32" s="139"/>
      <c r="H32" s="262"/>
      <c r="I32" s="249"/>
      <c r="J32" s="252"/>
      <c r="K32" s="234"/>
      <c r="L32" s="255"/>
      <c r="M32" s="234">
        <f ca="1">IF(NOT(ISERROR(MATCH(L32,_xlfn.ANCHORARRAY(F43),0))),K45&amp;"Por favor no seleccionar los criterios de impacto",L32)</f>
        <v>0</v>
      </c>
      <c r="N32" s="252"/>
      <c r="O32" s="234"/>
      <c r="P32" s="237"/>
      <c r="Q32" s="102">
        <v>6</v>
      </c>
      <c r="R32" s="103"/>
      <c r="S32" s="104" t="s">
        <v>215</v>
      </c>
      <c r="T32" s="105"/>
      <c r="U32" s="105"/>
      <c r="V32" s="106" t="s">
        <v>215</v>
      </c>
      <c r="W32" s="105"/>
      <c r="X32" s="105"/>
      <c r="Y32" s="105"/>
      <c r="Z32" s="107" t="s">
        <v>215</v>
      </c>
      <c r="AA32" s="108" t="s">
        <v>215</v>
      </c>
      <c r="AB32" s="109" t="s">
        <v>215</v>
      </c>
      <c r="AC32" s="108" t="s">
        <v>215</v>
      </c>
      <c r="AD32" s="109" t="s">
        <v>215</v>
      </c>
      <c r="AE32" s="110" t="s">
        <v>215</v>
      </c>
      <c r="AF32" s="111"/>
      <c r="AG32" s="112"/>
      <c r="AH32" s="113"/>
      <c r="AI32" s="114"/>
      <c r="AJ32" s="114"/>
      <c r="AK32" s="114"/>
      <c r="AL32" s="113"/>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hidden="1" customHeight="1" x14ac:dyDescent="0.3">
      <c r="A33" s="238">
        <v>6</v>
      </c>
      <c r="B33" s="241"/>
      <c r="C33" s="241"/>
      <c r="D33" s="256"/>
      <c r="E33" s="138"/>
      <c r="F33" s="259"/>
      <c r="G33" s="139"/>
      <c r="H33" s="260"/>
      <c r="I33" s="247"/>
      <c r="J33" s="250" t="str">
        <f t="shared" ref="J33" si="36">IF(I33&lt;=0,"",IF(I33&lt;=2,"Muy Baja",IF(I33&lt;=24,"Baja",IF(I33&lt;=500,"Media",IF(I33&lt;=5000,"Alta","Muy Alta")))))</f>
        <v/>
      </c>
      <c r="K33" s="232" t="str">
        <f t="shared" ref="K33" si="37">IF(J33="","",IF(J33="Muy Baja",0.2,IF(J33="Baja",0.4,IF(J33="Media",0.6,IF(J33="Alta",0.8,IF(J33="Muy Alta",1,))))))</f>
        <v/>
      </c>
      <c r="L33" s="253"/>
      <c r="M33" s="232">
        <f ca="1">IF(NOT(ISERROR(MATCH(L33,'Tabla Impacto'!$B$221:$B$223,0))),'Tabla Impacto'!$F$223&amp;"Por favor no seleccionar los criterios de impacto(Afectación Económica o presupuestal y Pérdida Reputacional)",L33)</f>
        <v>0</v>
      </c>
      <c r="N33" s="250" t="str">
        <f ca="1">IF(OR(M33='Tabla Impacto'!$C$11,M33='Tabla Impacto'!$D$11),"Leve",IF(OR(M33='Tabla Impacto'!$C$12,M33='Tabla Impacto'!$D$12),"Menor",IF(OR(M33='Tabla Impacto'!$C$13,M33='Tabla Impacto'!$D$13),"Moderado",IF(OR(M33='Tabla Impacto'!$C$14,M33='Tabla Impacto'!$D$14),"Mayor",IF(OR(M33='Tabla Impacto'!$C$15,M33='Tabla Impacto'!$D$15),"Catastrófico","")))))</f>
        <v/>
      </c>
      <c r="O33" s="232" t="str">
        <f t="shared" ref="O33" ca="1" si="38">IF(N33="","",IF(N33="Leve",0.2,IF(N33="Menor",0.4,IF(N33="Moderado",0.6,IF(N33="Mayor",0.8,IF(N33="Catastrófico",1,))))))</f>
        <v/>
      </c>
      <c r="P33" s="235" t="str">
        <f t="shared" ref="P33" ca="1" si="39">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
      </c>
      <c r="Q33" s="102">
        <v>1</v>
      </c>
      <c r="R33" s="103"/>
      <c r="S33" s="104" t="s">
        <v>215</v>
      </c>
      <c r="T33" s="105"/>
      <c r="U33" s="105"/>
      <c r="V33" s="106" t="s">
        <v>215</v>
      </c>
      <c r="W33" s="105"/>
      <c r="X33" s="105"/>
      <c r="Y33" s="105"/>
      <c r="Z33" s="107" t="s">
        <v>215</v>
      </c>
      <c r="AA33" s="108" t="s">
        <v>215</v>
      </c>
      <c r="AB33" s="109" t="s">
        <v>215</v>
      </c>
      <c r="AC33" s="108" t="s">
        <v>215</v>
      </c>
      <c r="AD33" s="109" t="s">
        <v>215</v>
      </c>
      <c r="AE33" s="110" t="s">
        <v>215</v>
      </c>
      <c r="AF33" s="111"/>
      <c r="AG33" s="112"/>
      <c r="AH33" s="113"/>
      <c r="AI33" s="114"/>
      <c r="AJ33" s="114"/>
      <c r="AK33" s="114"/>
      <c r="AL33" s="113"/>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hidden="1" customHeight="1" x14ac:dyDescent="0.3">
      <c r="A34" s="239"/>
      <c r="B34" s="242"/>
      <c r="C34" s="242"/>
      <c r="D34" s="257"/>
      <c r="E34" s="138"/>
      <c r="F34" s="259"/>
      <c r="G34" s="139"/>
      <c r="H34" s="261"/>
      <c r="I34" s="248"/>
      <c r="J34" s="251"/>
      <c r="K34" s="233"/>
      <c r="L34" s="254"/>
      <c r="M34" s="233">
        <f ca="1">IF(NOT(ISERROR(MATCH(L34,_xlfn.ANCHORARRAY(F45),0))),K47&amp;"Por favor no seleccionar los criterios de impacto",L34)</f>
        <v>0</v>
      </c>
      <c r="N34" s="251"/>
      <c r="O34" s="233"/>
      <c r="P34" s="236"/>
      <c r="Q34" s="102">
        <v>2</v>
      </c>
      <c r="R34" s="103"/>
      <c r="S34" s="104" t="s">
        <v>215</v>
      </c>
      <c r="T34" s="105"/>
      <c r="U34" s="105"/>
      <c r="V34" s="106" t="s">
        <v>215</v>
      </c>
      <c r="W34" s="105"/>
      <c r="X34" s="105"/>
      <c r="Y34" s="105"/>
      <c r="Z34" s="107" t="s">
        <v>215</v>
      </c>
      <c r="AA34" s="108" t="s">
        <v>215</v>
      </c>
      <c r="AB34" s="109" t="s">
        <v>215</v>
      </c>
      <c r="AC34" s="108" t="s">
        <v>215</v>
      </c>
      <c r="AD34" s="109" t="s">
        <v>215</v>
      </c>
      <c r="AE34" s="110" t="s">
        <v>215</v>
      </c>
      <c r="AF34" s="111"/>
      <c r="AG34" s="112"/>
      <c r="AH34" s="113"/>
      <c r="AI34" s="114"/>
      <c r="AJ34" s="114"/>
      <c r="AK34" s="114"/>
      <c r="AL34" s="113"/>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hidden="1" customHeight="1" x14ac:dyDescent="0.3">
      <c r="A35" s="239"/>
      <c r="B35" s="242"/>
      <c r="C35" s="242"/>
      <c r="D35" s="257"/>
      <c r="E35" s="138"/>
      <c r="F35" s="259"/>
      <c r="G35" s="139"/>
      <c r="H35" s="261"/>
      <c r="I35" s="248"/>
      <c r="J35" s="251"/>
      <c r="K35" s="233"/>
      <c r="L35" s="254"/>
      <c r="M35" s="233">
        <f ca="1">IF(NOT(ISERROR(MATCH(L35,_xlfn.ANCHORARRAY(F46),0))),K48&amp;"Por favor no seleccionar los criterios de impacto",L35)</f>
        <v>0</v>
      </c>
      <c r="N35" s="251"/>
      <c r="O35" s="233"/>
      <c r="P35" s="236"/>
      <c r="Q35" s="102">
        <v>3</v>
      </c>
      <c r="R35" s="115"/>
      <c r="S35" s="104" t="s">
        <v>215</v>
      </c>
      <c r="T35" s="105"/>
      <c r="U35" s="105"/>
      <c r="V35" s="106" t="s">
        <v>215</v>
      </c>
      <c r="W35" s="105"/>
      <c r="X35" s="105"/>
      <c r="Y35" s="105"/>
      <c r="Z35" s="107" t="s">
        <v>215</v>
      </c>
      <c r="AA35" s="108" t="s">
        <v>215</v>
      </c>
      <c r="AB35" s="109" t="s">
        <v>215</v>
      </c>
      <c r="AC35" s="108" t="s">
        <v>215</v>
      </c>
      <c r="AD35" s="109" t="s">
        <v>215</v>
      </c>
      <c r="AE35" s="110" t="s">
        <v>215</v>
      </c>
      <c r="AF35" s="111"/>
      <c r="AG35" s="112"/>
      <c r="AH35" s="113"/>
      <c r="AI35" s="114"/>
      <c r="AJ35" s="114"/>
      <c r="AK35" s="114"/>
      <c r="AL35" s="113"/>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hidden="1" customHeight="1" x14ac:dyDescent="0.3">
      <c r="A36" s="239"/>
      <c r="B36" s="242"/>
      <c r="C36" s="242"/>
      <c r="D36" s="257"/>
      <c r="E36" s="138"/>
      <c r="F36" s="259"/>
      <c r="G36" s="139"/>
      <c r="H36" s="261"/>
      <c r="I36" s="248"/>
      <c r="J36" s="251"/>
      <c r="K36" s="233"/>
      <c r="L36" s="254"/>
      <c r="M36" s="233">
        <f ca="1">IF(NOT(ISERROR(MATCH(L36,_xlfn.ANCHORARRAY(F47),0))),K49&amp;"Por favor no seleccionar los criterios de impacto",L36)</f>
        <v>0</v>
      </c>
      <c r="N36" s="251"/>
      <c r="O36" s="233"/>
      <c r="P36" s="236"/>
      <c r="Q36" s="102">
        <v>4</v>
      </c>
      <c r="R36" s="103"/>
      <c r="S36" s="104" t="s">
        <v>215</v>
      </c>
      <c r="T36" s="105"/>
      <c r="U36" s="105"/>
      <c r="V36" s="106" t="s">
        <v>215</v>
      </c>
      <c r="W36" s="105"/>
      <c r="X36" s="105"/>
      <c r="Y36" s="105"/>
      <c r="Z36" s="107" t="s">
        <v>215</v>
      </c>
      <c r="AA36" s="108" t="s">
        <v>215</v>
      </c>
      <c r="AB36" s="109" t="s">
        <v>215</v>
      </c>
      <c r="AC36" s="108" t="s">
        <v>215</v>
      </c>
      <c r="AD36" s="109" t="s">
        <v>215</v>
      </c>
      <c r="AE36" s="110" t="s">
        <v>215</v>
      </c>
      <c r="AF36" s="111"/>
      <c r="AG36" s="112"/>
      <c r="AH36" s="113"/>
      <c r="AI36" s="114"/>
      <c r="AJ36" s="114"/>
      <c r="AK36" s="114"/>
      <c r="AL36" s="113"/>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hidden="1" customHeight="1" x14ac:dyDescent="0.3">
      <c r="A37" s="239"/>
      <c r="B37" s="242"/>
      <c r="C37" s="242"/>
      <c r="D37" s="257"/>
      <c r="E37" s="138"/>
      <c r="F37" s="259"/>
      <c r="G37" s="139"/>
      <c r="H37" s="261"/>
      <c r="I37" s="248"/>
      <c r="J37" s="251"/>
      <c r="K37" s="233"/>
      <c r="L37" s="254"/>
      <c r="M37" s="233">
        <f ca="1">IF(NOT(ISERROR(MATCH(L37,_xlfn.ANCHORARRAY(F48),0))),K50&amp;"Por favor no seleccionar los criterios de impacto",L37)</f>
        <v>0</v>
      </c>
      <c r="N37" s="251"/>
      <c r="O37" s="233"/>
      <c r="P37" s="236"/>
      <c r="Q37" s="102">
        <v>5</v>
      </c>
      <c r="R37" s="103"/>
      <c r="S37" s="104" t="s">
        <v>215</v>
      </c>
      <c r="T37" s="105"/>
      <c r="U37" s="105"/>
      <c r="V37" s="106" t="s">
        <v>215</v>
      </c>
      <c r="W37" s="105"/>
      <c r="X37" s="105"/>
      <c r="Y37" s="105"/>
      <c r="Z37" s="107" t="s">
        <v>215</v>
      </c>
      <c r="AA37" s="108" t="s">
        <v>215</v>
      </c>
      <c r="AB37" s="109" t="s">
        <v>215</v>
      </c>
      <c r="AC37" s="108" t="s">
        <v>215</v>
      </c>
      <c r="AD37" s="109" t="s">
        <v>215</v>
      </c>
      <c r="AE37" s="110" t="s">
        <v>215</v>
      </c>
      <c r="AF37" s="111"/>
      <c r="AG37" s="112"/>
      <c r="AH37" s="113"/>
      <c r="AI37" s="114"/>
      <c r="AJ37" s="114"/>
      <c r="AK37" s="114"/>
      <c r="AL37" s="113"/>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hidden="1" customHeight="1" x14ac:dyDescent="0.3">
      <c r="A38" s="240"/>
      <c r="B38" s="243"/>
      <c r="C38" s="243"/>
      <c r="D38" s="258"/>
      <c r="E38" s="138"/>
      <c r="F38" s="259"/>
      <c r="G38" s="139"/>
      <c r="H38" s="262"/>
      <c r="I38" s="249"/>
      <c r="J38" s="252"/>
      <c r="K38" s="234"/>
      <c r="L38" s="255"/>
      <c r="M38" s="234">
        <f ca="1">IF(NOT(ISERROR(MATCH(L38,_xlfn.ANCHORARRAY(F49),0))),K51&amp;"Por favor no seleccionar los criterios de impacto",L38)</f>
        <v>0</v>
      </c>
      <c r="N38" s="252"/>
      <c r="O38" s="234"/>
      <c r="P38" s="237"/>
      <c r="Q38" s="102">
        <v>6</v>
      </c>
      <c r="R38" s="103"/>
      <c r="S38" s="104" t="s">
        <v>215</v>
      </c>
      <c r="T38" s="105"/>
      <c r="U38" s="105"/>
      <c r="V38" s="106" t="s">
        <v>215</v>
      </c>
      <c r="W38" s="105"/>
      <c r="X38" s="105"/>
      <c r="Y38" s="105"/>
      <c r="Z38" s="107" t="s">
        <v>215</v>
      </c>
      <c r="AA38" s="108" t="s">
        <v>215</v>
      </c>
      <c r="AB38" s="109" t="s">
        <v>215</v>
      </c>
      <c r="AC38" s="108" t="s">
        <v>215</v>
      </c>
      <c r="AD38" s="109" t="s">
        <v>215</v>
      </c>
      <c r="AE38" s="110" t="s">
        <v>215</v>
      </c>
      <c r="AF38" s="111"/>
      <c r="AG38" s="112"/>
      <c r="AH38" s="113"/>
      <c r="AI38" s="114"/>
      <c r="AJ38" s="114"/>
      <c r="AK38" s="114"/>
      <c r="AL38" s="113"/>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hidden="1" customHeight="1" x14ac:dyDescent="0.3">
      <c r="A39" s="238">
        <v>7</v>
      </c>
      <c r="B39" s="241"/>
      <c r="C39" s="241"/>
      <c r="D39" s="241"/>
      <c r="E39" s="122"/>
      <c r="F39" s="245"/>
      <c r="G39" s="125"/>
      <c r="H39" s="241"/>
      <c r="I39" s="247"/>
      <c r="J39" s="250" t="str">
        <f t="shared" ref="J39" si="40">IF(I39&lt;=0,"",IF(I39&lt;=2,"Muy Baja",IF(I39&lt;=24,"Baja",IF(I39&lt;=500,"Media",IF(I39&lt;=5000,"Alta","Muy Alta")))))</f>
        <v/>
      </c>
      <c r="K39" s="232" t="str">
        <f t="shared" ref="K39" si="41">IF(J39="","",IF(J39="Muy Baja",0.2,IF(J39="Baja",0.4,IF(J39="Media",0.6,IF(J39="Alta",0.8,IF(J39="Muy Alta",1,))))))</f>
        <v/>
      </c>
      <c r="L39" s="253"/>
      <c r="M39" s="232">
        <f ca="1">IF(NOT(ISERROR(MATCH(L39,'Tabla Impacto'!$B$221:$B$223,0))),'Tabla Impacto'!$F$223&amp;"Por favor no seleccionar los criterios de impacto(Afectación Económica o presupuestal y Pérdida Reputacional)",L39)</f>
        <v>0</v>
      </c>
      <c r="N39" s="250" t="str">
        <f ca="1">IF(OR(M39='Tabla Impacto'!$C$11,M39='Tabla Impacto'!$D$11),"Leve",IF(OR(M39='Tabla Impacto'!$C$12,M39='Tabla Impacto'!$D$12),"Menor",IF(OR(M39='Tabla Impacto'!$C$13,M39='Tabla Impacto'!$D$13),"Moderado",IF(OR(M39='Tabla Impacto'!$C$14,M39='Tabla Impacto'!$D$14),"Mayor",IF(OR(M39='Tabla Impacto'!$C$15,M39='Tabla Impacto'!$D$15),"Catastrófico","")))))</f>
        <v/>
      </c>
      <c r="O39" s="232" t="str">
        <f t="shared" ref="O39" ca="1" si="42">IF(N39="","",IF(N39="Leve",0.2,IF(N39="Menor",0.4,IF(N39="Moderado",0.6,IF(N39="Mayor",0.8,IF(N39="Catastrófico",1,))))))</f>
        <v/>
      </c>
      <c r="P39" s="235" t="str">
        <f t="shared" ref="P39" ca="1" si="43">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02">
        <v>1</v>
      </c>
      <c r="R39" s="103"/>
      <c r="S39" s="104" t="s">
        <v>215</v>
      </c>
      <c r="T39" s="105"/>
      <c r="U39" s="105"/>
      <c r="V39" s="106" t="s">
        <v>215</v>
      </c>
      <c r="W39" s="105"/>
      <c r="X39" s="105"/>
      <c r="Y39" s="105"/>
      <c r="Z39" s="107" t="s">
        <v>215</v>
      </c>
      <c r="AA39" s="108" t="s">
        <v>215</v>
      </c>
      <c r="AB39" s="109" t="s">
        <v>215</v>
      </c>
      <c r="AC39" s="108" t="s">
        <v>215</v>
      </c>
      <c r="AD39" s="109" t="s">
        <v>215</v>
      </c>
      <c r="AE39" s="110" t="s">
        <v>215</v>
      </c>
      <c r="AF39" s="111"/>
      <c r="AG39" s="112"/>
      <c r="AH39" s="113"/>
      <c r="AI39" s="114"/>
      <c r="AJ39" s="114"/>
      <c r="AK39" s="114"/>
      <c r="AL39" s="113"/>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hidden="1" customHeight="1" x14ac:dyDescent="0.3">
      <c r="A40" s="239"/>
      <c r="B40" s="242"/>
      <c r="C40" s="242"/>
      <c r="D40" s="242"/>
      <c r="E40" s="122"/>
      <c r="F40" s="245"/>
      <c r="G40" s="125"/>
      <c r="H40" s="242"/>
      <c r="I40" s="248"/>
      <c r="J40" s="251"/>
      <c r="K40" s="233"/>
      <c r="L40" s="254"/>
      <c r="M40" s="233">
        <f ca="1">IF(NOT(ISERROR(MATCH(L40,_xlfn.ANCHORARRAY(F51),0))),K53&amp;"Por favor no seleccionar los criterios de impacto",L40)</f>
        <v>0</v>
      </c>
      <c r="N40" s="251"/>
      <c r="O40" s="233"/>
      <c r="P40" s="236"/>
      <c r="Q40" s="102">
        <v>2</v>
      </c>
      <c r="R40" s="103"/>
      <c r="S40" s="104" t="s">
        <v>215</v>
      </c>
      <c r="T40" s="105"/>
      <c r="U40" s="105"/>
      <c r="V40" s="106" t="s">
        <v>215</v>
      </c>
      <c r="W40" s="105"/>
      <c r="X40" s="105"/>
      <c r="Y40" s="105"/>
      <c r="Z40" s="107" t="s">
        <v>215</v>
      </c>
      <c r="AA40" s="108" t="s">
        <v>215</v>
      </c>
      <c r="AB40" s="109" t="s">
        <v>215</v>
      </c>
      <c r="AC40" s="108" t="s">
        <v>215</v>
      </c>
      <c r="AD40" s="109" t="s">
        <v>215</v>
      </c>
      <c r="AE40" s="110" t="s">
        <v>215</v>
      </c>
      <c r="AF40" s="111"/>
      <c r="AG40" s="112"/>
      <c r="AH40" s="113"/>
      <c r="AI40" s="114"/>
      <c r="AJ40" s="114"/>
      <c r="AK40" s="114"/>
      <c r="AL40" s="113"/>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hidden="1" customHeight="1" x14ac:dyDescent="0.3">
      <c r="A41" s="239"/>
      <c r="B41" s="242"/>
      <c r="C41" s="242"/>
      <c r="D41" s="242"/>
      <c r="E41" s="122"/>
      <c r="F41" s="245"/>
      <c r="G41" s="125"/>
      <c r="H41" s="242"/>
      <c r="I41" s="248"/>
      <c r="J41" s="251"/>
      <c r="K41" s="233"/>
      <c r="L41" s="254"/>
      <c r="M41" s="233">
        <f ca="1">IF(NOT(ISERROR(MATCH(L41,_xlfn.ANCHORARRAY(F52),0))),K54&amp;"Por favor no seleccionar los criterios de impacto",L41)</f>
        <v>0</v>
      </c>
      <c r="N41" s="251"/>
      <c r="O41" s="233"/>
      <c r="P41" s="236"/>
      <c r="Q41" s="102">
        <v>3</v>
      </c>
      <c r="R41" s="115"/>
      <c r="S41" s="104" t="s">
        <v>215</v>
      </c>
      <c r="T41" s="105"/>
      <c r="U41" s="105"/>
      <c r="V41" s="106" t="s">
        <v>215</v>
      </c>
      <c r="W41" s="105"/>
      <c r="X41" s="105"/>
      <c r="Y41" s="105"/>
      <c r="Z41" s="107" t="s">
        <v>215</v>
      </c>
      <c r="AA41" s="108" t="s">
        <v>215</v>
      </c>
      <c r="AB41" s="109" t="s">
        <v>215</v>
      </c>
      <c r="AC41" s="108" t="s">
        <v>215</v>
      </c>
      <c r="AD41" s="109" t="s">
        <v>215</v>
      </c>
      <c r="AE41" s="110" t="s">
        <v>215</v>
      </c>
      <c r="AF41" s="111"/>
      <c r="AG41" s="112"/>
      <c r="AH41" s="113"/>
      <c r="AI41" s="114"/>
      <c r="AJ41" s="114"/>
      <c r="AK41" s="114"/>
      <c r="AL41" s="113"/>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hidden="1" customHeight="1" x14ac:dyDescent="0.3">
      <c r="A42" s="239"/>
      <c r="B42" s="242"/>
      <c r="C42" s="242"/>
      <c r="D42" s="242"/>
      <c r="E42" s="122"/>
      <c r="F42" s="245"/>
      <c r="G42" s="125"/>
      <c r="H42" s="242"/>
      <c r="I42" s="248"/>
      <c r="J42" s="251"/>
      <c r="K42" s="233"/>
      <c r="L42" s="254"/>
      <c r="M42" s="233">
        <f ca="1">IF(NOT(ISERROR(MATCH(L42,_xlfn.ANCHORARRAY(F53),0))),K55&amp;"Por favor no seleccionar los criterios de impacto",L42)</f>
        <v>0</v>
      </c>
      <c r="N42" s="251"/>
      <c r="O42" s="233"/>
      <c r="P42" s="236"/>
      <c r="Q42" s="102">
        <v>4</v>
      </c>
      <c r="R42" s="103"/>
      <c r="S42" s="104" t="s">
        <v>215</v>
      </c>
      <c r="T42" s="105"/>
      <c r="U42" s="105"/>
      <c r="V42" s="106" t="s">
        <v>215</v>
      </c>
      <c r="W42" s="105"/>
      <c r="X42" s="105"/>
      <c r="Y42" s="105"/>
      <c r="Z42" s="107" t="s">
        <v>215</v>
      </c>
      <c r="AA42" s="108" t="s">
        <v>215</v>
      </c>
      <c r="AB42" s="109" t="s">
        <v>215</v>
      </c>
      <c r="AC42" s="108" t="s">
        <v>215</v>
      </c>
      <c r="AD42" s="109" t="s">
        <v>215</v>
      </c>
      <c r="AE42" s="110" t="s">
        <v>215</v>
      </c>
      <c r="AF42" s="111"/>
      <c r="AG42" s="112"/>
      <c r="AH42" s="113"/>
      <c r="AI42" s="114"/>
      <c r="AJ42" s="114"/>
      <c r="AK42" s="114"/>
      <c r="AL42" s="113"/>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hidden="1" customHeight="1" x14ac:dyDescent="0.3">
      <c r="A43" s="239"/>
      <c r="B43" s="242"/>
      <c r="C43" s="242"/>
      <c r="D43" s="242"/>
      <c r="E43" s="122"/>
      <c r="F43" s="245"/>
      <c r="G43" s="125"/>
      <c r="H43" s="242"/>
      <c r="I43" s="248"/>
      <c r="J43" s="251"/>
      <c r="K43" s="233"/>
      <c r="L43" s="254"/>
      <c r="M43" s="233">
        <f ca="1">IF(NOT(ISERROR(MATCH(L43,_xlfn.ANCHORARRAY(F54),0))),K56&amp;"Por favor no seleccionar los criterios de impacto",L43)</f>
        <v>0</v>
      </c>
      <c r="N43" s="251"/>
      <c r="O43" s="233"/>
      <c r="P43" s="236"/>
      <c r="Q43" s="102">
        <v>5</v>
      </c>
      <c r="R43" s="103"/>
      <c r="S43" s="104" t="s">
        <v>215</v>
      </c>
      <c r="T43" s="105"/>
      <c r="U43" s="105"/>
      <c r="V43" s="106" t="s">
        <v>215</v>
      </c>
      <c r="W43" s="105"/>
      <c r="X43" s="105"/>
      <c r="Y43" s="105"/>
      <c r="Z43" s="107" t="s">
        <v>215</v>
      </c>
      <c r="AA43" s="108" t="s">
        <v>215</v>
      </c>
      <c r="AB43" s="109" t="s">
        <v>215</v>
      </c>
      <c r="AC43" s="108" t="s">
        <v>215</v>
      </c>
      <c r="AD43" s="109" t="s">
        <v>215</v>
      </c>
      <c r="AE43" s="110" t="s">
        <v>215</v>
      </c>
      <c r="AF43" s="111"/>
      <c r="AG43" s="112"/>
      <c r="AH43" s="113"/>
      <c r="AI43" s="114"/>
      <c r="AJ43" s="114"/>
      <c r="AK43" s="114"/>
      <c r="AL43" s="113"/>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hidden="1" customHeight="1" x14ac:dyDescent="0.3">
      <c r="A44" s="240"/>
      <c r="B44" s="243"/>
      <c r="C44" s="243"/>
      <c r="D44" s="243"/>
      <c r="E44" s="123"/>
      <c r="F44" s="246"/>
      <c r="G44" s="126"/>
      <c r="H44" s="243"/>
      <c r="I44" s="249"/>
      <c r="J44" s="252"/>
      <c r="K44" s="234"/>
      <c r="L44" s="255"/>
      <c r="M44" s="234">
        <f ca="1">IF(NOT(ISERROR(MATCH(L44,_xlfn.ANCHORARRAY(F55),0))),K57&amp;"Por favor no seleccionar los criterios de impacto",L44)</f>
        <v>0</v>
      </c>
      <c r="N44" s="252"/>
      <c r="O44" s="234"/>
      <c r="P44" s="237"/>
      <c r="Q44" s="102">
        <v>6</v>
      </c>
      <c r="R44" s="103"/>
      <c r="S44" s="104" t="s">
        <v>215</v>
      </c>
      <c r="T44" s="105"/>
      <c r="U44" s="105"/>
      <c r="V44" s="106" t="s">
        <v>215</v>
      </c>
      <c r="W44" s="105"/>
      <c r="X44" s="105"/>
      <c r="Y44" s="105"/>
      <c r="Z44" s="107" t="s">
        <v>215</v>
      </c>
      <c r="AA44" s="108" t="s">
        <v>215</v>
      </c>
      <c r="AB44" s="109" t="s">
        <v>215</v>
      </c>
      <c r="AC44" s="108" t="s">
        <v>215</v>
      </c>
      <c r="AD44" s="109" t="s">
        <v>215</v>
      </c>
      <c r="AE44" s="110" t="s">
        <v>215</v>
      </c>
      <c r="AF44" s="111"/>
      <c r="AG44" s="112"/>
      <c r="AH44" s="113"/>
      <c r="AI44" s="114"/>
      <c r="AJ44" s="114"/>
      <c r="AK44" s="114"/>
      <c r="AL44" s="113"/>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hidden="1" customHeight="1" x14ac:dyDescent="0.3">
      <c r="A45" s="238">
        <v>8</v>
      </c>
      <c r="B45" s="241"/>
      <c r="C45" s="241"/>
      <c r="D45" s="241"/>
      <c r="E45" s="121"/>
      <c r="F45" s="244"/>
      <c r="G45" s="124"/>
      <c r="H45" s="241"/>
      <c r="I45" s="247"/>
      <c r="J45" s="250" t="str">
        <f t="shared" ref="J45" si="44">IF(I45&lt;=0,"",IF(I45&lt;=2,"Muy Baja",IF(I45&lt;=24,"Baja",IF(I45&lt;=500,"Media",IF(I45&lt;=5000,"Alta","Muy Alta")))))</f>
        <v/>
      </c>
      <c r="K45" s="232" t="str">
        <f t="shared" ref="K45" si="45">IF(J45="","",IF(J45="Muy Baja",0.2,IF(J45="Baja",0.4,IF(J45="Media",0.6,IF(J45="Alta",0.8,IF(J45="Muy Alta",1,))))))</f>
        <v/>
      </c>
      <c r="L45" s="253"/>
      <c r="M45" s="232">
        <f ca="1">IF(NOT(ISERROR(MATCH(L45,'Tabla Impacto'!$B$221:$B$223,0))),'Tabla Impacto'!$F$223&amp;"Por favor no seleccionar los criterios de impacto(Afectación Económica o presupuestal y Pérdida Reputacional)",L45)</f>
        <v>0</v>
      </c>
      <c r="N45" s="250" t="str">
        <f ca="1">IF(OR(M45='Tabla Impacto'!$C$11,M45='Tabla Impacto'!$D$11),"Leve",IF(OR(M45='Tabla Impacto'!$C$12,M45='Tabla Impacto'!$D$12),"Menor",IF(OR(M45='Tabla Impacto'!$C$13,M45='Tabla Impacto'!$D$13),"Moderado",IF(OR(M45='Tabla Impacto'!$C$14,M45='Tabla Impacto'!$D$14),"Mayor",IF(OR(M45='Tabla Impacto'!$C$15,M45='Tabla Impacto'!$D$15),"Catastrófico","")))))</f>
        <v/>
      </c>
      <c r="O45" s="232" t="str">
        <f t="shared" ref="O45" ca="1" si="46">IF(N45="","",IF(N45="Leve",0.2,IF(N45="Menor",0.4,IF(N45="Moderado",0.6,IF(N45="Mayor",0.8,IF(N45="Catastrófico",1,))))))</f>
        <v/>
      </c>
      <c r="P45" s="235" t="str">
        <f t="shared" ref="P45" ca="1" si="47">IF(OR(AND(J45="Muy Baja",N45="Leve"),AND(J45="Muy Baja",N45="Menor"),AND(J45="Baja",N45="Leve")),"Bajo",IF(OR(AND(J45="Muy baja",N45="Moderado"),AND(J45="Baja",N45="Menor"),AND(J45="Baja",N45="Moderado"),AND(J45="Media",N45="Leve"),AND(J45="Media",N45="Menor"),AND(J45="Media",N45="Moderado"),AND(J45="Alta",N45="Leve"),AND(J45="Alta",N45="Menor")),"Moderado",IF(OR(AND(J45="Muy Baja",N45="Mayor"),AND(J45="Baja",N45="Mayor"),AND(J45="Media",N45="Mayor"),AND(J45="Alta",N45="Moderado"),AND(J45="Alta",N45="Mayor"),AND(J45="Muy Alta",N45="Leve"),AND(J45="Muy Alta",N45="Menor"),AND(J45="Muy Alta",N45="Moderado"),AND(J45="Muy Alta",N45="Mayor")),"Alto",IF(OR(AND(J45="Muy Baja",N45="Catastrófico"),AND(J45="Baja",N45="Catastrófico"),AND(J45="Media",N45="Catastrófico"),AND(J45="Alta",N45="Catastrófico"),AND(J45="Muy Alta",N45="Catastrófico")),"Extremo",""))))</f>
        <v/>
      </c>
      <c r="Q45" s="102">
        <v>1</v>
      </c>
      <c r="R45" s="103"/>
      <c r="S45" s="104" t="str">
        <f>IF(OR(T45="Preventivo",T45="Detectivo"),"Probabilidad",IF(T45="Correctivo","Impacto",""))</f>
        <v/>
      </c>
      <c r="T45" s="105"/>
      <c r="U45" s="105"/>
      <c r="V45" s="106" t="str">
        <f>IF(AND(T45="Preventivo",U45="Automático"),"50%",IF(AND(T45="Preventivo",U45="Manual"),"40%",IF(AND(T45="Detectivo",U45="Automático"),"40%",IF(AND(T45="Detectivo",U45="Manual"),"30%",IF(AND(T45="Correctivo",U45="Automático"),"35%",IF(AND(T45="Correctivo",U45="Manual"),"25%",""))))))</f>
        <v/>
      </c>
      <c r="W45" s="105"/>
      <c r="X45" s="105"/>
      <c r="Y45" s="105"/>
      <c r="Z45" s="107" t="str">
        <f>IFERROR(IF(S45="Probabilidad",(K45-(+K45*V45)),IF(S45="Impacto",K45,"")),"")</f>
        <v/>
      </c>
      <c r="AA45" s="108" t="str">
        <f>IFERROR(IF(Z45="","",IF(Z45&lt;=0.2,"Muy Baja",IF(Z45&lt;=0.4,"Baja",IF(Z45&lt;=0.6,"Media",IF(Z45&lt;=0.8,"Alta","Muy Alta"))))),"")</f>
        <v/>
      </c>
      <c r="AB45" s="109" t="str">
        <f>+Z45</f>
        <v/>
      </c>
      <c r="AC45" s="108" t="str">
        <f>IFERROR(IF(AD45="","",IF(AD45&lt;=0.2,"Leve",IF(AD45&lt;=0.4,"Menor",IF(AD45&lt;=0.6,"Moderado",IF(AD45&lt;=0.8,"Mayor","Catastrófico"))))),"")</f>
        <v/>
      </c>
      <c r="AD45" s="109" t="str">
        <f>IFERROR(IF(S45="Impacto",(O45-(+O45*V45)),IF(S45="Probabilidad",O45,"")),"")</f>
        <v/>
      </c>
      <c r="AE45" s="110"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11"/>
      <c r="AG45" s="112"/>
      <c r="AH45" s="113"/>
      <c r="AI45" s="114"/>
      <c r="AJ45" s="114"/>
      <c r="AK45" s="114"/>
      <c r="AL45" s="113"/>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hidden="1" customHeight="1" x14ac:dyDescent="0.3">
      <c r="A46" s="239"/>
      <c r="B46" s="242"/>
      <c r="C46" s="242"/>
      <c r="D46" s="242"/>
      <c r="E46" s="122"/>
      <c r="F46" s="245"/>
      <c r="G46" s="125"/>
      <c r="H46" s="242"/>
      <c r="I46" s="248"/>
      <c r="J46" s="251"/>
      <c r="K46" s="233"/>
      <c r="L46" s="254"/>
      <c r="M46" s="233">
        <f ca="1">IF(NOT(ISERROR(MATCH(L46,_xlfn.ANCHORARRAY(F57),0))),K59&amp;"Por favor no seleccionar los criterios de impacto",L46)</f>
        <v>0</v>
      </c>
      <c r="N46" s="251"/>
      <c r="O46" s="233"/>
      <c r="P46" s="236"/>
      <c r="Q46" s="102">
        <v>2</v>
      </c>
      <c r="R46" s="103"/>
      <c r="S46" s="104" t="str">
        <f>IF(OR(T46="Preventivo",T46="Detectivo"),"Probabilidad",IF(T46="Correctivo","Impacto",""))</f>
        <v/>
      </c>
      <c r="T46" s="105"/>
      <c r="U46" s="105"/>
      <c r="V46" s="106" t="str">
        <f t="shared" ref="V46:V50" si="48">IF(AND(T46="Preventivo",U46="Automático"),"50%",IF(AND(T46="Preventivo",U46="Manual"),"40%",IF(AND(T46="Detectivo",U46="Automático"),"40%",IF(AND(T46="Detectivo",U46="Manual"),"30%",IF(AND(T46="Correctivo",U46="Automático"),"35%",IF(AND(T46="Correctivo",U46="Manual"),"25%",""))))))</f>
        <v/>
      </c>
      <c r="W46" s="105"/>
      <c r="X46" s="105"/>
      <c r="Y46" s="105"/>
      <c r="Z46" s="107" t="str">
        <f>IFERROR(IF(AND(S45="Probabilidad",S46="Probabilidad"),(AB45-(+AB45*V46)),IF(S46="Probabilidad",(K45-(+K45*V46)),IF(S46="Impacto",AB45,""))),"")</f>
        <v/>
      </c>
      <c r="AA46" s="108" t="str">
        <f t="shared" ref="AA46:AA62" si="49">IFERROR(IF(Z46="","",IF(Z46&lt;=0.2,"Muy Baja",IF(Z46&lt;=0.4,"Baja",IF(Z46&lt;=0.6,"Media",IF(Z46&lt;=0.8,"Alta","Muy Alta"))))),"")</f>
        <v/>
      </c>
      <c r="AB46" s="109" t="str">
        <f t="shared" ref="AB46:AB50" si="50">+Z46</f>
        <v/>
      </c>
      <c r="AC46" s="108" t="str">
        <f t="shared" ref="AC46:AC62" si="51">IFERROR(IF(AD46="","",IF(AD46&lt;=0.2,"Leve",IF(AD46&lt;=0.4,"Menor",IF(AD46&lt;=0.6,"Moderado",IF(AD46&lt;=0.8,"Mayor","Catastrófico"))))),"")</f>
        <v/>
      </c>
      <c r="AD46" s="109" t="str">
        <f>IFERROR(IF(AND(S45="Impacto",S46="Impacto"),(AD45-(+AD45*V46)),IF(S46="Impacto",(O45-(+O45*V46)),IF(S46="Probabilidad",AD45,""))),"")</f>
        <v/>
      </c>
      <c r="AE46" s="110" t="str">
        <f t="shared" ref="AE46:AE47" si="52">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11"/>
      <c r="AG46" s="112"/>
      <c r="AH46" s="113"/>
      <c r="AI46" s="114"/>
      <c r="AJ46" s="114"/>
      <c r="AK46" s="114"/>
      <c r="AL46" s="113"/>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hidden="1" customHeight="1" x14ac:dyDescent="0.3">
      <c r="A47" s="239"/>
      <c r="B47" s="242"/>
      <c r="C47" s="242"/>
      <c r="D47" s="242"/>
      <c r="E47" s="122"/>
      <c r="F47" s="245"/>
      <c r="G47" s="125"/>
      <c r="H47" s="242"/>
      <c r="I47" s="248"/>
      <c r="J47" s="251"/>
      <c r="K47" s="233"/>
      <c r="L47" s="254"/>
      <c r="M47" s="233">
        <f ca="1">IF(NOT(ISERROR(MATCH(L47,_xlfn.ANCHORARRAY(F58),0))),K60&amp;"Por favor no seleccionar los criterios de impacto",L47)</f>
        <v>0</v>
      </c>
      <c r="N47" s="251"/>
      <c r="O47" s="233"/>
      <c r="P47" s="236"/>
      <c r="Q47" s="102">
        <v>3</v>
      </c>
      <c r="R47" s="115"/>
      <c r="S47" s="104" t="str">
        <f>IF(OR(T47="Preventivo",T47="Detectivo"),"Probabilidad",IF(T47="Correctivo","Impacto",""))</f>
        <v/>
      </c>
      <c r="T47" s="105"/>
      <c r="U47" s="105"/>
      <c r="V47" s="106" t="str">
        <f t="shared" si="48"/>
        <v/>
      </c>
      <c r="W47" s="105"/>
      <c r="X47" s="105"/>
      <c r="Y47" s="105"/>
      <c r="Z47" s="107" t="str">
        <f>IFERROR(IF(AND(S46="Probabilidad",S47="Probabilidad"),(AB46-(+AB46*V47)),IF(AND(S46="Impacto",S47="Probabilidad"),(AB45-(+AB45*V47)),IF(S47="Impacto",AB46,""))),"")</f>
        <v/>
      </c>
      <c r="AA47" s="108" t="str">
        <f t="shared" si="49"/>
        <v/>
      </c>
      <c r="AB47" s="109" t="str">
        <f t="shared" si="50"/>
        <v/>
      </c>
      <c r="AC47" s="108" t="str">
        <f t="shared" si="51"/>
        <v/>
      </c>
      <c r="AD47" s="109" t="str">
        <f>IFERROR(IF(AND(S46="Impacto",S47="Impacto"),(AD46-(+AD46*V47)),IF(AND(S46="Probabilidad",S47="Impacto"),(AD45-(+AD45*V47)),IF(S47="Probabilidad",AD46,""))),"")</f>
        <v/>
      </c>
      <c r="AE47" s="110" t="str">
        <f t="shared" si="52"/>
        <v/>
      </c>
      <c r="AF47" s="111"/>
      <c r="AG47" s="112"/>
      <c r="AH47" s="113"/>
      <c r="AI47" s="114"/>
      <c r="AJ47" s="114"/>
      <c r="AK47" s="114"/>
      <c r="AL47" s="113"/>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hidden="1" customHeight="1" x14ac:dyDescent="0.3">
      <c r="A48" s="239"/>
      <c r="B48" s="242"/>
      <c r="C48" s="242"/>
      <c r="D48" s="242"/>
      <c r="E48" s="122"/>
      <c r="F48" s="245"/>
      <c r="G48" s="125"/>
      <c r="H48" s="242"/>
      <c r="I48" s="248"/>
      <c r="J48" s="251"/>
      <c r="K48" s="233"/>
      <c r="L48" s="254"/>
      <c r="M48" s="233">
        <f ca="1">IF(NOT(ISERROR(MATCH(L48,_xlfn.ANCHORARRAY(F59),0))),K61&amp;"Por favor no seleccionar los criterios de impacto",L48)</f>
        <v>0</v>
      </c>
      <c r="N48" s="251"/>
      <c r="O48" s="233"/>
      <c r="P48" s="236"/>
      <c r="Q48" s="102">
        <v>4</v>
      </c>
      <c r="R48" s="103"/>
      <c r="S48" s="104" t="str">
        <f t="shared" ref="S48:S50" si="53">IF(OR(T48="Preventivo",T48="Detectivo"),"Probabilidad",IF(T48="Correctivo","Impacto",""))</f>
        <v/>
      </c>
      <c r="T48" s="105"/>
      <c r="U48" s="105"/>
      <c r="V48" s="106" t="str">
        <f t="shared" si="48"/>
        <v/>
      </c>
      <c r="W48" s="105"/>
      <c r="X48" s="105"/>
      <c r="Y48" s="105"/>
      <c r="Z48" s="107" t="str">
        <f t="shared" ref="Z48:Z50" si="54">IFERROR(IF(AND(S47="Probabilidad",S48="Probabilidad"),(AB47-(+AB47*V48)),IF(AND(S47="Impacto",S48="Probabilidad"),(AB46-(+AB46*V48)),IF(S48="Impacto",AB47,""))),"")</f>
        <v/>
      </c>
      <c r="AA48" s="108" t="str">
        <f t="shared" si="49"/>
        <v/>
      </c>
      <c r="AB48" s="109" t="str">
        <f t="shared" si="50"/>
        <v/>
      </c>
      <c r="AC48" s="108" t="str">
        <f t="shared" si="51"/>
        <v/>
      </c>
      <c r="AD48" s="109" t="str">
        <f t="shared" ref="AD48:AD50" si="55">IFERROR(IF(AND(S47="Impacto",S48="Impacto"),(AD47-(+AD47*V48)),IF(AND(S47="Probabilidad",S48="Impacto"),(AD46-(+AD46*V48)),IF(S48="Probabilidad",AD47,""))),"")</f>
        <v/>
      </c>
      <c r="AE48" s="110"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1"/>
      <c r="AG48" s="112"/>
      <c r="AH48" s="113"/>
      <c r="AI48" s="114"/>
      <c r="AJ48" s="114"/>
      <c r="AK48" s="114"/>
      <c r="AL48" s="113"/>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hidden="1" customHeight="1" x14ac:dyDescent="0.3">
      <c r="A49" s="239"/>
      <c r="B49" s="242"/>
      <c r="C49" s="242"/>
      <c r="D49" s="242"/>
      <c r="E49" s="122"/>
      <c r="F49" s="245"/>
      <c r="G49" s="125"/>
      <c r="H49" s="242"/>
      <c r="I49" s="248"/>
      <c r="J49" s="251"/>
      <c r="K49" s="233"/>
      <c r="L49" s="254"/>
      <c r="M49" s="233">
        <f ca="1">IF(NOT(ISERROR(MATCH(L49,_xlfn.ANCHORARRAY(F60),0))),K62&amp;"Por favor no seleccionar los criterios de impacto",L49)</f>
        <v>0</v>
      </c>
      <c r="N49" s="251"/>
      <c r="O49" s="233"/>
      <c r="P49" s="236"/>
      <c r="Q49" s="102">
        <v>5</v>
      </c>
      <c r="R49" s="103"/>
      <c r="S49" s="104" t="str">
        <f t="shared" si="53"/>
        <v/>
      </c>
      <c r="T49" s="105"/>
      <c r="U49" s="105"/>
      <c r="V49" s="106" t="str">
        <f t="shared" si="48"/>
        <v/>
      </c>
      <c r="W49" s="105"/>
      <c r="X49" s="105"/>
      <c r="Y49" s="105"/>
      <c r="Z49" s="107" t="str">
        <f t="shared" si="54"/>
        <v/>
      </c>
      <c r="AA49" s="108" t="str">
        <f t="shared" si="49"/>
        <v/>
      </c>
      <c r="AB49" s="109" t="str">
        <f t="shared" si="50"/>
        <v/>
      </c>
      <c r="AC49" s="108" t="str">
        <f t="shared" si="51"/>
        <v/>
      </c>
      <c r="AD49" s="109" t="str">
        <f t="shared" si="55"/>
        <v/>
      </c>
      <c r="AE49" s="110" t="str">
        <f t="shared" ref="AE49:AE50" si="56">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1"/>
      <c r="AG49" s="112"/>
      <c r="AH49" s="113"/>
      <c r="AI49" s="114"/>
      <c r="AJ49" s="114"/>
      <c r="AK49" s="114"/>
      <c r="AL49" s="113"/>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hidden="1" customHeight="1" x14ac:dyDescent="0.3">
      <c r="A50" s="240"/>
      <c r="B50" s="243"/>
      <c r="C50" s="243"/>
      <c r="D50" s="243"/>
      <c r="E50" s="123"/>
      <c r="F50" s="246"/>
      <c r="G50" s="126"/>
      <c r="H50" s="243"/>
      <c r="I50" s="249"/>
      <c r="J50" s="252"/>
      <c r="K50" s="234"/>
      <c r="L50" s="255"/>
      <c r="M50" s="234">
        <f ca="1">IF(NOT(ISERROR(MATCH(L50,_xlfn.ANCHORARRAY(F61),0))),K63&amp;"Por favor no seleccionar los criterios de impacto",L50)</f>
        <v>0</v>
      </c>
      <c r="N50" s="252"/>
      <c r="O50" s="234"/>
      <c r="P50" s="237"/>
      <c r="Q50" s="102">
        <v>6</v>
      </c>
      <c r="R50" s="103"/>
      <c r="S50" s="104" t="str">
        <f t="shared" si="53"/>
        <v/>
      </c>
      <c r="T50" s="105"/>
      <c r="U50" s="105"/>
      <c r="V50" s="106" t="str">
        <f t="shared" si="48"/>
        <v/>
      </c>
      <c r="W50" s="105"/>
      <c r="X50" s="105"/>
      <c r="Y50" s="105"/>
      <c r="Z50" s="107" t="str">
        <f t="shared" si="54"/>
        <v/>
      </c>
      <c r="AA50" s="108" t="str">
        <f t="shared" si="49"/>
        <v/>
      </c>
      <c r="AB50" s="109" t="str">
        <f t="shared" si="50"/>
        <v/>
      </c>
      <c r="AC50" s="108" t="str">
        <f t="shared" si="51"/>
        <v/>
      </c>
      <c r="AD50" s="109" t="str">
        <f t="shared" si="55"/>
        <v/>
      </c>
      <c r="AE50" s="110" t="str">
        <f t="shared" si="56"/>
        <v/>
      </c>
      <c r="AF50" s="111"/>
      <c r="AG50" s="112"/>
      <c r="AH50" s="113"/>
      <c r="AI50" s="114"/>
      <c r="AJ50" s="114"/>
      <c r="AK50" s="114"/>
      <c r="AL50" s="113"/>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hidden="1" customHeight="1" x14ac:dyDescent="0.3">
      <c r="A51" s="238">
        <v>9</v>
      </c>
      <c r="B51" s="241"/>
      <c r="C51" s="241"/>
      <c r="D51" s="241"/>
      <c r="E51" s="121"/>
      <c r="F51" s="244"/>
      <c r="G51" s="124"/>
      <c r="H51" s="241"/>
      <c r="I51" s="247"/>
      <c r="J51" s="250" t="str">
        <f t="shared" ref="J51" si="57">IF(I51&lt;=0,"",IF(I51&lt;=2,"Muy Baja",IF(I51&lt;=24,"Baja",IF(I51&lt;=500,"Media",IF(I51&lt;=5000,"Alta","Muy Alta")))))</f>
        <v/>
      </c>
      <c r="K51" s="232" t="str">
        <f t="shared" ref="K51" si="58">IF(J51="","",IF(J51="Muy Baja",0.2,IF(J51="Baja",0.4,IF(J51="Media",0.6,IF(J51="Alta",0.8,IF(J51="Muy Alta",1,))))))</f>
        <v/>
      </c>
      <c r="L51" s="253"/>
      <c r="M51" s="232">
        <f ca="1">IF(NOT(ISERROR(MATCH(L51,'Tabla Impacto'!$B$221:$B$223,0))),'Tabla Impacto'!$F$223&amp;"Por favor no seleccionar los criterios de impacto(Afectación Económica o presupuestal y Pérdida Reputacional)",L51)</f>
        <v>0</v>
      </c>
      <c r="N51" s="250" t="str">
        <f ca="1">IF(OR(M51='Tabla Impacto'!$C$11,M51='Tabla Impacto'!$D$11),"Leve",IF(OR(M51='Tabla Impacto'!$C$12,M51='Tabla Impacto'!$D$12),"Menor",IF(OR(M51='Tabla Impacto'!$C$13,M51='Tabla Impacto'!$D$13),"Moderado",IF(OR(M51='Tabla Impacto'!$C$14,M51='Tabla Impacto'!$D$14),"Mayor",IF(OR(M51='Tabla Impacto'!$C$15,M51='Tabla Impacto'!$D$15),"Catastrófico","")))))</f>
        <v/>
      </c>
      <c r="O51" s="232" t="str">
        <f t="shared" ref="O51" ca="1" si="59">IF(N51="","",IF(N51="Leve",0.2,IF(N51="Menor",0.4,IF(N51="Moderado",0.6,IF(N51="Mayor",0.8,IF(N51="Catastrófico",1,))))))</f>
        <v/>
      </c>
      <c r="P51" s="235" t="str">
        <f t="shared" ref="P51" ca="1" si="60">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
      </c>
      <c r="Q51" s="102">
        <v>1</v>
      </c>
      <c r="R51" s="103"/>
      <c r="S51" s="104" t="str">
        <f>IF(OR(T51="Preventivo",T51="Detectivo"),"Probabilidad",IF(T51="Correctivo","Impacto",""))</f>
        <v/>
      </c>
      <c r="T51" s="105"/>
      <c r="U51" s="105"/>
      <c r="V51" s="106" t="str">
        <f>IF(AND(T51="Preventivo",U51="Automático"),"50%",IF(AND(T51="Preventivo",U51="Manual"),"40%",IF(AND(T51="Detectivo",U51="Automático"),"40%",IF(AND(T51="Detectivo",U51="Manual"),"30%",IF(AND(T51="Correctivo",U51="Automático"),"35%",IF(AND(T51="Correctivo",U51="Manual"),"25%",""))))))</f>
        <v/>
      </c>
      <c r="W51" s="105"/>
      <c r="X51" s="105"/>
      <c r="Y51" s="105"/>
      <c r="Z51" s="107" t="str">
        <f>IFERROR(IF(S51="Probabilidad",(K51-(+K51*V51)),IF(S51="Impacto",K51,"")),"")</f>
        <v/>
      </c>
      <c r="AA51" s="108" t="str">
        <f>IFERROR(IF(Z51="","",IF(Z51&lt;=0.2,"Muy Baja",IF(Z51&lt;=0.4,"Baja",IF(Z51&lt;=0.6,"Media",IF(Z51&lt;=0.8,"Alta","Muy Alta"))))),"")</f>
        <v/>
      </c>
      <c r="AB51" s="109" t="str">
        <f>+Z51</f>
        <v/>
      </c>
      <c r="AC51" s="108" t="str">
        <f>IFERROR(IF(AD51="","",IF(AD51&lt;=0.2,"Leve",IF(AD51&lt;=0.4,"Menor",IF(AD51&lt;=0.6,"Moderado",IF(AD51&lt;=0.8,"Mayor","Catastrófico"))))),"")</f>
        <v/>
      </c>
      <c r="AD51" s="109" t="str">
        <f>IFERROR(IF(S51="Impacto",(O51-(+O51*V51)),IF(S51="Probabilidad",O51,"")),"")</f>
        <v/>
      </c>
      <c r="AE51" s="110"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1"/>
      <c r="AG51" s="112"/>
      <c r="AH51" s="113"/>
      <c r="AI51" s="114"/>
      <c r="AJ51" s="114"/>
      <c r="AK51" s="114"/>
      <c r="AL51" s="113"/>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hidden="1" customHeight="1" x14ac:dyDescent="0.3">
      <c r="A52" s="239"/>
      <c r="B52" s="242"/>
      <c r="C52" s="242"/>
      <c r="D52" s="242"/>
      <c r="E52" s="122"/>
      <c r="F52" s="245"/>
      <c r="G52" s="125"/>
      <c r="H52" s="242"/>
      <c r="I52" s="248"/>
      <c r="J52" s="251"/>
      <c r="K52" s="233"/>
      <c r="L52" s="254"/>
      <c r="M52" s="233">
        <f ca="1">IF(NOT(ISERROR(MATCH(L52,_xlfn.ANCHORARRAY(F63),0))),K65&amp;"Por favor no seleccionar los criterios de impacto",L52)</f>
        <v>0</v>
      </c>
      <c r="N52" s="251"/>
      <c r="O52" s="233"/>
      <c r="P52" s="236"/>
      <c r="Q52" s="102">
        <v>2</v>
      </c>
      <c r="R52" s="103"/>
      <c r="S52" s="104" t="str">
        <f>IF(OR(T52="Preventivo",T52="Detectivo"),"Probabilidad",IF(T52="Correctivo","Impacto",""))</f>
        <v/>
      </c>
      <c r="T52" s="105"/>
      <c r="U52" s="105"/>
      <c r="V52" s="106" t="str">
        <f t="shared" ref="V52:V56" si="61">IF(AND(T52="Preventivo",U52="Automático"),"50%",IF(AND(T52="Preventivo",U52="Manual"),"40%",IF(AND(T52="Detectivo",U52="Automático"),"40%",IF(AND(T52="Detectivo",U52="Manual"),"30%",IF(AND(T52="Correctivo",U52="Automático"),"35%",IF(AND(T52="Correctivo",U52="Manual"),"25%",""))))))</f>
        <v/>
      </c>
      <c r="W52" s="105"/>
      <c r="X52" s="105"/>
      <c r="Y52" s="105"/>
      <c r="Z52" s="107" t="str">
        <f>IFERROR(IF(AND(S51="Probabilidad",S52="Probabilidad"),(AB51-(+AB51*V52)),IF(S52="Probabilidad",(K51-(+K51*V52)),IF(S52="Impacto",AB51,""))),"")</f>
        <v/>
      </c>
      <c r="AA52" s="108" t="str">
        <f t="shared" si="49"/>
        <v/>
      </c>
      <c r="AB52" s="109" t="str">
        <f t="shared" ref="AB52:AB56" si="62">+Z52</f>
        <v/>
      </c>
      <c r="AC52" s="108" t="str">
        <f t="shared" si="51"/>
        <v/>
      </c>
      <c r="AD52" s="109" t="str">
        <f>IFERROR(IF(AND(S51="Impacto",S52="Impacto"),(AD51-(+AD51*V52)),IF(S52="Impacto",(O51-(+O51*V52)),IF(S52="Probabilidad",AD51,""))),"")</f>
        <v/>
      </c>
      <c r="AE52" s="110" t="str">
        <f t="shared" ref="AE52:AE53" si="63">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1"/>
      <c r="AG52" s="112"/>
      <c r="AH52" s="113"/>
      <c r="AI52" s="114"/>
      <c r="AJ52" s="114"/>
      <c r="AK52" s="114"/>
      <c r="AL52" s="113"/>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hidden="1" customHeight="1" x14ac:dyDescent="0.3">
      <c r="A53" s="239"/>
      <c r="B53" s="242"/>
      <c r="C53" s="242"/>
      <c r="D53" s="242"/>
      <c r="E53" s="122"/>
      <c r="F53" s="245"/>
      <c r="G53" s="125"/>
      <c r="H53" s="242"/>
      <c r="I53" s="248"/>
      <c r="J53" s="251"/>
      <c r="K53" s="233"/>
      <c r="L53" s="254"/>
      <c r="M53" s="233">
        <f ca="1">IF(NOT(ISERROR(MATCH(L53,_xlfn.ANCHORARRAY(F64),0))),K66&amp;"Por favor no seleccionar los criterios de impacto",L53)</f>
        <v>0</v>
      </c>
      <c r="N53" s="251"/>
      <c r="O53" s="233"/>
      <c r="P53" s="236"/>
      <c r="Q53" s="102">
        <v>3</v>
      </c>
      <c r="R53" s="115"/>
      <c r="S53" s="104" t="str">
        <f>IF(OR(T53="Preventivo",T53="Detectivo"),"Probabilidad",IF(T53="Correctivo","Impacto",""))</f>
        <v/>
      </c>
      <c r="T53" s="105"/>
      <c r="U53" s="105"/>
      <c r="V53" s="106" t="str">
        <f t="shared" si="61"/>
        <v/>
      </c>
      <c r="W53" s="105"/>
      <c r="X53" s="105"/>
      <c r="Y53" s="105"/>
      <c r="Z53" s="107" t="str">
        <f>IFERROR(IF(AND(S52="Probabilidad",S53="Probabilidad"),(AB52-(+AB52*V53)),IF(AND(S52="Impacto",S53="Probabilidad"),(AB51-(+AB51*V53)),IF(S53="Impacto",AB52,""))),"")</f>
        <v/>
      </c>
      <c r="AA53" s="108" t="str">
        <f t="shared" si="49"/>
        <v/>
      </c>
      <c r="AB53" s="109" t="str">
        <f t="shared" si="62"/>
        <v/>
      </c>
      <c r="AC53" s="108" t="str">
        <f t="shared" si="51"/>
        <v/>
      </c>
      <c r="AD53" s="109" t="str">
        <f>IFERROR(IF(AND(S52="Impacto",S53="Impacto"),(AD52-(+AD52*V53)),IF(AND(S52="Probabilidad",S53="Impacto"),(AD51-(+AD51*V53)),IF(S53="Probabilidad",AD52,""))),"")</f>
        <v/>
      </c>
      <c r="AE53" s="110" t="str">
        <f t="shared" si="63"/>
        <v/>
      </c>
      <c r="AF53" s="111"/>
      <c r="AG53" s="112"/>
      <c r="AH53" s="113"/>
      <c r="AI53" s="114"/>
      <c r="AJ53" s="114"/>
      <c r="AK53" s="114"/>
      <c r="AL53" s="113"/>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hidden="1" customHeight="1" x14ac:dyDescent="0.3">
      <c r="A54" s="239"/>
      <c r="B54" s="242"/>
      <c r="C54" s="242"/>
      <c r="D54" s="242"/>
      <c r="E54" s="122"/>
      <c r="F54" s="245"/>
      <c r="G54" s="125"/>
      <c r="H54" s="242"/>
      <c r="I54" s="248"/>
      <c r="J54" s="251"/>
      <c r="K54" s="233"/>
      <c r="L54" s="254"/>
      <c r="M54" s="233">
        <f ca="1">IF(NOT(ISERROR(MATCH(L54,_xlfn.ANCHORARRAY(F65),0))),K67&amp;"Por favor no seleccionar los criterios de impacto",L54)</f>
        <v>0</v>
      </c>
      <c r="N54" s="251"/>
      <c r="O54" s="233"/>
      <c r="P54" s="236"/>
      <c r="Q54" s="102">
        <v>4</v>
      </c>
      <c r="R54" s="103"/>
      <c r="S54" s="104" t="str">
        <f t="shared" ref="S54:S56" si="64">IF(OR(T54="Preventivo",T54="Detectivo"),"Probabilidad",IF(T54="Correctivo","Impacto",""))</f>
        <v/>
      </c>
      <c r="T54" s="105"/>
      <c r="U54" s="105"/>
      <c r="V54" s="106" t="str">
        <f t="shared" si="61"/>
        <v/>
      </c>
      <c r="W54" s="105"/>
      <c r="X54" s="105"/>
      <c r="Y54" s="105"/>
      <c r="Z54" s="107" t="str">
        <f t="shared" ref="Z54:Z56" si="65">IFERROR(IF(AND(S53="Probabilidad",S54="Probabilidad"),(AB53-(+AB53*V54)),IF(AND(S53="Impacto",S54="Probabilidad"),(AB52-(+AB52*V54)),IF(S54="Impacto",AB53,""))),"")</f>
        <v/>
      </c>
      <c r="AA54" s="108" t="str">
        <f t="shared" si="49"/>
        <v/>
      </c>
      <c r="AB54" s="109" t="str">
        <f t="shared" si="62"/>
        <v/>
      </c>
      <c r="AC54" s="108" t="str">
        <f t="shared" si="51"/>
        <v/>
      </c>
      <c r="AD54" s="109" t="str">
        <f t="shared" ref="AD54:AD56" si="66">IFERROR(IF(AND(S53="Impacto",S54="Impacto"),(AD53-(+AD53*V54)),IF(AND(S53="Probabilidad",S54="Impacto"),(AD52-(+AD52*V54)),IF(S54="Probabilidad",AD53,""))),"")</f>
        <v/>
      </c>
      <c r="AE54" s="110"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1"/>
      <c r="AG54" s="112"/>
      <c r="AH54" s="113"/>
      <c r="AI54" s="114"/>
      <c r="AJ54" s="114"/>
      <c r="AK54" s="114"/>
      <c r="AL54" s="113"/>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hidden="1" customHeight="1" x14ac:dyDescent="0.3">
      <c r="A55" s="239"/>
      <c r="B55" s="242"/>
      <c r="C55" s="242"/>
      <c r="D55" s="242"/>
      <c r="E55" s="122"/>
      <c r="F55" s="245"/>
      <c r="G55" s="125"/>
      <c r="H55" s="242"/>
      <c r="I55" s="248"/>
      <c r="J55" s="251"/>
      <c r="K55" s="233"/>
      <c r="L55" s="254"/>
      <c r="M55" s="233">
        <f ca="1">IF(NOT(ISERROR(MATCH(L55,_xlfn.ANCHORARRAY(F66),0))),K68&amp;"Por favor no seleccionar los criterios de impacto",L55)</f>
        <v>0</v>
      </c>
      <c r="N55" s="251"/>
      <c r="O55" s="233"/>
      <c r="P55" s="236"/>
      <c r="Q55" s="102">
        <v>5</v>
      </c>
      <c r="R55" s="103"/>
      <c r="S55" s="104" t="str">
        <f t="shared" si="64"/>
        <v/>
      </c>
      <c r="T55" s="105"/>
      <c r="U55" s="105"/>
      <c r="V55" s="106" t="str">
        <f t="shared" si="61"/>
        <v/>
      </c>
      <c r="W55" s="105"/>
      <c r="X55" s="105"/>
      <c r="Y55" s="105"/>
      <c r="Z55" s="107" t="str">
        <f t="shared" si="65"/>
        <v/>
      </c>
      <c r="AA55" s="108" t="str">
        <f t="shared" si="49"/>
        <v/>
      </c>
      <c r="AB55" s="109" t="str">
        <f t="shared" si="62"/>
        <v/>
      </c>
      <c r="AC55" s="108" t="str">
        <f t="shared" si="51"/>
        <v/>
      </c>
      <c r="AD55" s="109" t="str">
        <f t="shared" si="66"/>
        <v/>
      </c>
      <c r="AE55" s="110" t="str">
        <f t="shared" ref="AE55:AE56" si="67">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1"/>
      <c r="AG55" s="112"/>
      <c r="AH55" s="113"/>
      <c r="AI55" s="114"/>
      <c r="AJ55" s="114"/>
      <c r="AK55" s="114"/>
      <c r="AL55" s="113"/>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hidden="1" customHeight="1" x14ac:dyDescent="0.3">
      <c r="A56" s="240"/>
      <c r="B56" s="243"/>
      <c r="C56" s="243"/>
      <c r="D56" s="243"/>
      <c r="E56" s="123"/>
      <c r="F56" s="246"/>
      <c r="G56" s="126"/>
      <c r="H56" s="243"/>
      <c r="I56" s="249"/>
      <c r="J56" s="252"/>
      <c r="K56" s="234"/>
      <c r="L56" s="255"/>
      <c r="M56" s="234">
        <f ca="1">IF(NOT(ISERROR(MATCH(L56,_xlfn.ANCHORARRAY(F67),0))),K69&amp;"Por favor no seleccionar los criterios de impacto",L56)</f>
        <v>0</v>
      </c>
      <c r="N56" s="252"/>
      <c r="O56" s="234"/>
      <c r="P56" s="237"/>
      <c r="Q56" s="102">
        <v>6</v>
      </c>
      <c r="R56" s="103"/>
      <c r="S56" s="104" t="str">
        <f t="shared" si="64"/>
        <v/>
      </c>
      <c r="T56" s="105"/>
      <c r="U56" s="105"/>
      <c r="V56" s="106" t="str">
        <f t="shared" si="61"/>
        <v/>
      </c>
      <c r="W56" s="105"/>
      <c r="X56" s="105"/>
      <c r="Y56" s="105"/>
      <c r="Z56" s="107" t="str">
        <f t="shared" si="65"/>
        <v/>
      </c>
      <c r="AA56" s="108" t="str">
        <f t="shared" si="49"/>
        <v/>
      </c>
      <c r="AB56" s="109" t="str">
        <f t="shared" si="62"/>
        <v/>
      </c>
      <c r="AC56" s="108" t="str">
        <f t="shared" si="51"/>
        <v/>
      </c>
      <c r="AD56" s="109" t="str">
        <f t="shared" si="66"/>
        <v/>
      </c>
      <c r="AE56" s="110" t="str">
        <f t="shared" si="67"/>
        <v/>
      </c>
      <c r="AF56" s="111"/>
      <c r="AG56" s="112"/>
      <c r="AH56" s="113"/>
      <c r="AI56" s="114"/>
      <c r="AJ56" s="114"/>
      <c r="AK56" s="114"/>
      <c r="AL56" s="113"/>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9.5" hidden="1" customHeight="1" x14ac:dyDescent="0.3">
      <c r="A57" s="238">
        <v>10</v>
      </c>
      <c r="B57" s="241"/>
      <c r="C57" s="241"/>
      <c r="D57" s="241"/>
      <c r="E57" s="121"/>
      <c r="F57" s="244"/>
      <c r="G57" s="124"/>
      <c r="H57" s="241"/>
      <c r="I57" s="247"/>
      <c r="J57" s="250" t="str">
        <f t="shared" ref="J57" si="68">IF(I57&lt;=0,"",IF(I57&lt;=2,"Muy Baja",IF(I57&lt;=24,"Baja",IF(I57&lt;=500,"Media",IF(I57&lt;=5000,"Alta","Muy Alta")))))</f>
        <v/>
      </c>
      <c r="K57" s="232" t="str">
        <f t="shared" ref="K57" si="69">IF(J57="","",IF(J57="Muy Baja",0.2,IF(J57="Baja",0.4,IF(J57="Media",0.6,IF(J57="Alta",0.8,IF(J57="Muy Alta",1,))))))</f>
        <v/>
      </c>
      <c r="L57" s="253"/>
      <c r="M57" s="232">
        <f ca="1">IF(NOT(ISERROR(MATCH(L57,'Tabla Impacto'!$B$221:$B$223,0))),'Tabla Impacto'!$F$223&amp;"Por favor no seleccionar los criterios de impacto(Afectación Económica o presupuestal y Pérdida Reputacional)",L57)</f>
        <v>0</v>
      </c>
      <c r="N57" s="250" t="str">
        <f ca="1">IF(OR(M57='Tabla Impacto'!$C$11,M57='Tabla Impacto'!$D$11),"Leve",IF(OR(M57='Tabla Impacto'!$C$12,M57='Tabla Impacto'!$D$12),"Menor",IF(OR(M57='Tabla Impacto'!$C$13,M57='Tabla Impacto'!$D$13),"Moderado",IF(OR(M57='Tabla Impacto'!$C$14,M57='Tabla Impacto'!$D$14),"Mayor",IF(OR(M57='Tabla Impacto'!$C$15,M57='Tabla Impacto'!$D$15),"Catastrófico","")))))</f>
        <v/>
      </c>
      <c r="O57" s="232" t="str">
        <f t="shared" ref="O57" ca="1" si="70">IF(N57="","",IF(N57="Leve",0.2,IF(N57="Menor",0.4,IF(N57="Moderado",0.6,IF(N57="Mayor",0.8,IF(N57="Catastrófico",1,))))))</f>
        <v/>
      </c>
      <c r="P57" s="235" t="str">
        <f t="shared" ref="P57" ca="1" si="71">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
      </c>
      <c r="Q57" s="102">
        <v>1</v>
      </c>
      <c r="R57" s="103"/>
      <c r="S57" s="104" t="str">
        <f>IF(OR(T57="Preventivo",T57="Detectivo"),"Probabilidad",IF(T57="Correctivo","Impacto",""))</f>
        <v/>
      </c>
      <c r="T57" s="105"/>
      <c r="U57" s="105"/>
      <c r="V57" s="106" t="str">
        <f>IF(AND(T57="Preventivo",U57="Automático"),"50%",IF(AND(T57="Preventivo",U57="Manual"),"40%",IF(AND(T57="Detectivo",U57="Automático"),"40%",IF(AND(T57="Detectivo",U57="Manual"),"30%",IF(AND(T57="Correctivo",U57="Automático"),"35%",IF(AND(T57="Correctivo",U57="Manual"),"25%",""))))))</f>
        <v/>
      </c>
      <c r="W57" s="105"/>
      <c r="X57" s="105"/>
      <c r="Y57" s="105"/>
      <c r="Z57" s="107" t="str">
        <f>IFERROR(IF(S57="Probabilidad",(K57-(+K57*V57)),IF(S57="Impacto",K57,"")),"")</f>
        <v/>
      </c>
      <c r="AA57" s="108" t="str">
        <f>IFERROR(IF(Z57="","",IF(Z57&lt;=0.2,"Muy Baja",IF(Z57&lt;=0.4,"Baja",IF(Z57&lt;=0.6,"Media",IF(Z57&lt;=0.8,"Alta","Muy Alta"))))),"")</f>
        <v/>
      </c>
      <c r="AB57" s="109" t="str">
        <f>+Z57</f>
        <v/>
      </c>
      <c r="AC57" s="108" t="str">
        <f>IFERROR(IF(AD57="","",IF(AD57&lt;=0.2,"Leve",IF(AD57&lt;=0.4,"Menor",IF(AD57&lt;=0.6,"Moderado",IF(AD57&lt;=0.8,"Mayor","Catastrófico"))))),"")</f>
        <v/>
      </c>
      <c r="AD57" s="109" t="str">
        <f>IFERROR(IF(S57="Impacto",(O57-(+O57*V57)),IF(S57="Probabilidad",O57,"")),"")</f>
        <v/>
      </c>
      <c r="AE57" s="110"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1"/>
      <c r="AG57" s="112"/>
      <c r="AH57" s="113"/>
      <c r="AI57" s="114"/>
      <c r="AJ57" s="114"/>
      <c r="AK57" s="114"/>
      <c r="AL57" s="113"/>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9.5" hidden="1" customHeight="1" x14ac:dyDescent="0.3">
      <c r="A58" s="239"/>
      <c r="B58" s="242"/>
      <c r="C58" s="242"/>
      <c r="D58" s="242"/>
      <c r="E58" s="122"/>
      <c r="F58" s="245"/>
      <c r="G58" s="125"/>
      <c r="H58" s="242"/>
      <c r="I58" s="248"/>
      <c r="J58" s="251"/>
      <c r="K58" s="233"/>
      <c r="L58" s="254"/>
      <c r="M58" s="233">
        <f ca="1">IF(NOT(ISERROR(MATCH(L58,_xlfn.ANCHORARRAY(F69),0))),K71&amp;"Por favor no seleccionar los criterios de impacto",L58)</f>
        <v>0</v>
      </c>
      <c r="N58" s="251"/>
      <c r="O58" s="233"/>
      <c r="P58" s="236"/>
      <c r="Q58" s="102">
        <v>2</v>
      </c>
      <c r="R58" s="103"/>
      <c r="S58" s="104" t="str">
        <f>IF(OR(T58="Preventivo",T58="Detectivo"),"Probabilidad",IF(T58="Correctivo","Impacto",""))</f>
        <v/>
      </c>
      <c r="T58" s="105"/>
      <c r="U58" s="105"/>
      <c r="V58" s="106" t="str">
        <f t="shared" ref="V58:V62" si="72">IF(AND(T58="Preventivo",U58="Automático"),"50%",IF(AND(T58="Preventivo",U58="Manual"),"40%",IF(AND(T58="Detectivo",U58="Automático"),"40%",IF(AND(T58="Detectivo",U58="Manual"),"30%",IF(AND(T58="Correctivo",U58="Automático"),"35%",IF(AND(T58="Correctivo",U58="Manual"),"25%",""))))))</f>
        <v/>
      </c>
      <c r="W58" s="105"/>
      <c r="X58" s="105"/>
      <c r="Y58" s="105"/>
      <c r="Z58" s="107" t="str">
        <f>IFERROR(IF(AND(S57="Probabilidad",S58="Probabilidad"),(AB57-(+AB57*V58)),IF(S58="Probabilidad",(K57-(+K57*V58)),IF(S58="Impacto",AB57,""))),"")</f>
        <v/>
      </c>
      <c r="AA58" s="108" t="str">
        <f t="shared" si="49"/>
        <v/>
      </c>
      <c r="AB58" s="109" t="str">
        <f t="shared" ref="AB58:AB62" si="73">+Z58</f>
        <v/>
      </c>
      <c r="AC58" s="108" t="str">
        <f t="shared" si="51"/>
        <v/>
      </c>
      <c r="AD58" s="109" t="str">
        <f>IFERROR(IF(AND(S57="Impacto",S58="Impacto"),(AD57-(+AD57*V58)),IF(S58="Impacto",(O57-(+O57*V58)),IF(S58="Probabilidad",AD57,""))),"")</f>
        <v/>
      </c>
      <c r="AE58" s="110" t="str">
        <f t="shared" ref="AE58:AE59" si="74">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1"/>
      <c r="AG58" s="112"/>
      <c r="AH58" s="113"/>
      <c r="AI58" s="114"/>
      <c r="AJ58" s="114"/>
      <c r="AK58" s="114"/>
      <c r="AL58" s="113"/>
    </row>
    <row r="59" spans="1:70" ht="19.5" hidden="1" customHeight="1" x14ac:dyDescent="0.3">
      <c r="A59" s="239"/>
      <c r="B59" s="242"/>
      <c r="C59" s="242"/>
      <c r="D59" s="242"/>
      <c r="E59" s="122"/>
      <c r="F59" s="245"/>
      <c r="G59" s="125"/>
      <c r="H59" s="242"/>
      <c r="I59" s="248"/>
      <c r="J59" s="251"/>
      <c r="K59" s="233"/>
      <c r="L59" s="254"/>
      <c r="M59" s="233">
        <f ca="1">IF(NOT(ISERROR(MATCH(L59,_xlfn.ANCHORARRAY(F70),0))),K72&amp;"Por favor no seleccionar los criterios de impacto",L59)</f>
        <v>0</v>
      </c>
      <c r="N59" s="251"/>
      <c r="O59" s="233"/>
      <c r="P59" s="236"/>
      <c r="Q59" s="102">
        <v>3</v>
      </c>
      <c r="R59" s="115"/>
      <c r="S59" s="104" t="str">
        <f>IF(OR(T59="Preventivo",T59="Detectivo"),"Probabilidad",IF(T59="Correctivo","Impacto",""))</f>
        <v/>
      </c>
      <c r="T59" s="105"/>
      <c r="U59" s="105"/>
      <c r="V59" s="106" t="str">
        <f t="shared" si="72"/>
        <v/>
      </c>
      <c r="W59" s="105"/>
      <c r="X59" s="105"/>
      <c r="Y59" s="105"/>
      <c r="Z59" s="107" t="str">
        <f>IFERROR(IF(AND(S58="Probabilidad",S59="Probabilidad"),(AB58-(+AB58*V59)),IF(AND(S58="Impacto",S59="Probabilidad"),(AB57-(+AB57*V59)),IF(S59="Impacto",AB58,""))),"")</f>
        <v/>
      </c>
      <c r="AA59" s="108" t="str">
        <f t="shared" si="49"/>
        <v/>
      </c>
      <c r="AB59" s="109" t="str">
        <f t="shared" si="73"/>
        <v/>
      </c>
      <c r="AC59" s="108" t="str">
        <f t="shared" si="51"/>
        <v/>
      </c>
      <c r="AD59" s="109" t="str">
        <f>IFERROR(IF(AND(S58="Impacto",S59="Impacto"),(AD58-(+AD58*V59)),IF(AND(S58="Probabilidad",S59="Impacto"),(AD57-(+AD57*V59)),IF(S59="Probabilidad",AD58,""))),"")</f>
        <v/>
      </c>
      <c r="AE59" s="110" t="str">
        <f t="shared" si="74"/>
        <v/>
      </c>
      <c r="AF59" s="111"/>
      <c r="AG59" s="112"/>
      <c r="AH59" s="113"/>
      <c r="AI59" s="114"/>
      <c r="AJ59" s="114"/>
      <c r="AK59" s="114"/>
      <c r="AL59" s="113"/>
    </row>
    <row r="60" spans="1:70" ht="19.5" hidden="1" customHeight="1" x14ac:dyDescent="0.3">
      <c r="A60" s="239"/>
      <c r="B60" s="242"/>
      <c r="C60" s="242"/>
      <c r="D60" s="242"/>
      <c r="E60" s="122"/>
      <c r="F60" s="245"/>
      <c r="G60" s="125"/>
      <c r="H60" s="242"/>
      <c r="I60" s="248"/>
      <c r="J60" s="251"/>
      <c r="K60" s="233"/>
      <c r="L60" s="254"/>
      <c r="M60" s="233">
        <f ca="1">IF(NOT(ISERROR(MATCH(L60,_xlfn.ANCHORARRAY(F71),0))),K73&amp;"Por favor no seleccionar los criterios de impacto",L60)</f>
        <v>0</v>
      </c>
      <c r="N60" s="251"/>
      <c r="O60" s="233"/>
      <c r="P60" s="236"/>
      <c r="Q60" s="102">
        <v>4</v>
      </c>
      <c r="R60" s="103"/>
      <c r="S60" s="104" t="str">
        <f t="shared" ref="S60:S62" si="75">IF(OR(T60="Preventivo",T60="Detectivo"),"Probabilidad",IF(T60="Correctivo","Impacto",""))</f>
        <v/>
      </c>
      <c r="T60" s="105"/>
      <c r="U60" s="105"/>
      <c r="V60" s="106" t="str">
        <f t="shared" si="72"/>
        <v/>
      </c>
      <c r="W60" s="105"/>
      <c r="X60" s="105"/>
      <c r="Y60" s="105"/>
      <c r="Z60" s="107" t="str">
        <f t="shared" ref="Z60:Z62" si="76">IFERROR(IF(AND(S59="Probabilidad",S60="Probabilidad"),(AB59-(+AB59*V60)),IF(AND(S59="Impacto",S60="Probabilidad"),(AB58-(+AB58*V60)),IF(S60="Impacto",AB59,""))),"")</f>
        <v/>
      </c>
      <c r="AA60" s="108" t="str">
        <f t="shared" si="49"/>
        <v/>
      </c>
      <c r="AB60" s="109" t="str">
        <f t="shared" si="73"/>
        <v/>
      </c>
      <c r="AC60" s="108" t="str">
        <f t="shared" si="51"/>
        <v/>
      </c>
      <c r="AD60" s="109" t="str">
        <f t="shared" ref="AD60:AD62" si="77">IFERROR(IF(AND(S59="Impacto",S60="Impacto"),(AD59-(+AD59*V60)),IF(AND(S59="Probabilidad",S60="Impacto"),(AD58-(+AD58*V60)),IF(S60="Probabilidad",AD59,""))),"")</f>
        <v/>
      </c>
      <c r="AE60" s="110"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1"/>
      <c r="AG60" s="112"/>
      <c r="AH60" s="113"/>
      <c r="AI60" s="114"/>
      <c r="AJ60" s="114"/>
      <c r="AK60" s="114"/>
      <c r="AL60" s="113"/>
    </row>
    <row r="61" spans="1:70" ht="19.5" hidden="1" customHeight="1" x14ac:dyDescent="0.3">
      <c r="A61" s="239"/>
      <c r="B61" s="242"/>
      <c r="C61" s="242"/>
      <c r="D61" s="242"/>
      <c r="E61" s="122"/>
      <c r="F61" s="245"/>
      <c r="G61" s="125"/>
      <c r="H61" s="242"/>
      <c r="I61" s="248"/>
      <c r="J61" s="251"/>
      <c r="K61" s="233"/>
      <c r="L61" s="254"/>
      <c r="M61" s="233">
        <f ca="1">IF(NOT(ISERROR(MATCH(L61,_xlfn.ANCHORARRAY(F72),0))),K74&amp;"Por favor no seleccionar los criterios de impacto",L61)</f>
        <v>0</v>
      </c>
      <c r="N61" s="251"/>
      <c r="O61" s="233"/>
      <c r="P61" s="236"/>
      <c r="Q61" s="102">
        <v>5</v>
      </c>
      <c r="R61" s="103"/>
      <c r="S61" s="104" t="str">
        <f t="shared" si="75"/>
        <v/>
      </c>
      <c r="T61" s="105"/>
      <c r="U61" s="105"/>
      <c r="V61" s="106" t="str">
        <f t="shared" si="72"/>
        <v/>
      </c>
      <c r="W61" s="105"/>
      <c r="X61" s="105"/>
      <c r="Y61" s="105"/>
      <c r="Z61" s="107" t="str">
        <f t="shared" si="76"/>
        <v/>
      </c>
      <c r="AA61" s="108" t="str">
        <f t="shared" si="49"/>
        <v/>
      </c>
      <c r="AB61" s="109" t="str">
        <f t="shared" si="73"/>
        <v/>
      </c>
      <c r="AC61" s="108" t="str">
        <f t="shared" si="51"/>
        <v/>
      </c>
      <c r="AD61" s="109" t="str">
        <f t="shared" si="77"/>
        <v/>
      </c>
      <c r="AE61" s="110" t="str">
        <f t="shared" ref="AE61:AE62" si="78">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1"/>
      <c r="AG61" s="112"/>
      <c r="AH61" s="113"/>
      <c r="AI61" s="114"/>
      <c r="AJ61" s="114"/>
      <c r="AK61" s="114"/>
      <c r="AL61" s="113"/>
    </row>
    <row r="62" spans="1:70" ht="19.5" hidden="1" customHeight="1" x14ac:dyDescent="0.3">
      <c r="A62" s="240"/>
      <c r="B62" s="243"/>
      <c r="C62" s="243"/>
      <c r="D62" s="243"/>
      <c r="E62" s="123"/>
      <c r="F62" s="246"/>
      <c r="G62" s="126"/>
      <c r="H62" s="243"/>
      <c r="I62" s="249"/>
      <c r="J62" s="252"/>
      <c r="K62" s="234"/>
      <c r="L62" s="255"/>
      <c r="M62" s="234">
        <f ca="1">IF(NOT(ISERROR(MATCH(L62,_xlfn.ANCHORARRAY(F73),0))),K75&amp;"Por favor no seleccionar los criterios de impacto",L62)</f>
        <v>0</v>
      </c>
      <c r="N62" s="252"/>
      <c r="O62" s="234"/>
      <c r="P62" s="237"/>
      <c r="Q62" s="102">
        <v>6</v>
      </c>
      <c r="R62" s="103"/>
      <c r="S62" s="104" t="str">
        <f t="shared" si="75"/>
        <v/>
      </c>
      <c r="T62" s="105"/>
      <c r="U62" s="105"/>
      <c r="V62" s="106" t="str">
        <f t="shared" si="72"/>
        <v/>
      </c>
      <c r="W62" s="105"/>
      <c r="X62" s="105"/>
      <c r="Y62" s="105"/>
      <c r="Z62" s="107" t="str">
        <f t="shared" si="76"/>
        <v/>
      </c>
      <c r="AA62" s="108" t="str">
        <f t="shared" si="49"/>
        <v/>
      </c>
      <c r="AB62" s="109" t="str">
        <f t="shared" si="73"/>
        <v/>
      </c>
      <c r="AC62" s="108" t="str">
        <f t="shared" si="51"/>
        <v/>
      </c>
      <c r="AD62" s="109" t="str">
        <f t="shared" si="77"/>
        <v/>
      </c>
      <c r="AE62" s="110" t="str">
        <f t="shared" si="78"/>
        <v/>
      </c>
      <c r="AF62" s="111"/>
      <c r="AG62" s="112"/>
      <c r="AH62" s="113"/>
      <c r="AI62" s="114"/>
      <c r="AJ62" s="114"/>
      <c r="AK62" s="114"/>
      <c r="AL62" s="113"/>
    </row>
    <row r="63" spans="1:70" ht="49.5" hidden="1" customHeight="1" x14ac:dyDescent="0.3">
      <c r="A63" s="6"/>
      <c r="B63" s="229" t="s">
        <v>126</v>
      </c>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1"/>
    </row>
    <row r="64" spans="1:70" hidden="1" x14ac:dyDescent="0.3"/>
    <row r="65" spans="2:2" s="1" customFormat="1" hidden="1" x14ac:dyDescent="0.3">
      <c r="B65" s="24" t="s">
        <v>138</v>
      </c>
    </row>
  </sheetData>
  <dataConsolidate/>
  <mergeCells count="207">
    <mergeCell ref="H10:H11"/>
    <mergeCell ref="I10:I11"/>
    <mergeCell ref="J10:J11"/>
    <mergeCell ref="A10:A11"/>
    <mergeCell ref="B10:B11"/>
    <mergeCell ref="C10:C11"/>
    <mergeCell ref="D10:D11"/>
    <mergeCell ref="F10:F11"/>
    <mergeCell ref="P10:P11"/>
    <mergeCell ref="K10:K11"/>
    <mergeCell ref="L10:L11"/>
    <mergeCell ref="M10:M11"/>
    <mergeCell ref="N10:N11"/>
    <mergeCell ref="O10:O11"/>
    <mergeCell ref="G10:G11"/>
    <mergeCell ref="AB8:AB9"/>
    <mergeCell ref="I8:I9"/>
    <mergeCell ref="J8:J9"/>
    <mergeCell ref="K8:K9"/>
    <mergeCell ref="N8:N9"/>
    <mergeCell ref="O8:O9"/>
    <mergeCell ref="B8:B9"/>
    <mergeCell ref="P8:P9"/>
    <mergeCell ref="L8:L9"/>
    <mergeCell ref="M8:M9"/>
    <mergeCell ref="S8:S9"/>
    <mergeCell ref="T8:Y8"/>
    <mergeCell ref="E8:E9"/>
    <mergeCell ref="D12:D14"/>
    <mergeCell ref="F12:F14"/>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M12:M14"/>
    <mergeCell ref="N12:N14"/>
    <mergeCell ref="O12:O14"/>
    <mergeCell ref="P12:P14"/>
    <mergeCell ref="A15:A20"/>
    <mergeCell ref="B15:B20"/>
    <mergeCell ref="C15:C20"/>
    <mergeCell ref="D15:D20"/>
    <mergeCell ref="F15:F20"/>
    <mergeCell ref="H15:H20"/>
    <mergeCell ref="I15:I20"/>
    <mergeCell ref="J15:J20"/>
    <mergeCell ref="K15:K20"/>
    <mergeCell ref="L15:L20"/>
    <mergeCell ref="M15:M20"/>
    <mergeCell ref="N15:N20"/>
    <mergeCell ref="H12:H14"/>
    <mergeCell ref="I12:I14"/>
    <mergeCell ref="J12:J14"/>
    <mergeCell ref="K12:K14"/>
    <mergeCell ref="L12:L14"/>
    <mergeCell ref="A12:A14"/>
    <mergeCell ref="B12:B14"/>
    <mergeCell ref="C12:C14"/>
    <mergeCell ref="O15:O20"/>
    <mergeCell ref="P15:P20"/>
    <mergeCell ref="A21:A26"/>
    <mergeCell ref="B21:B26"/>
    <mergeCell ref="C21:C26"/>
    <mergeCell ref="D21:D26"/>
    <mergeCell ref="F21:F26"/>
    <mergeCell ref="H21:H26"/>
    <mergeCell ref="I21:I26"/>
    <mergeCell ref="J21:J26"/>
    <mergeCell ref="K21:K26"/>
    <mergeCell ref="L21:L26"/>
    <mergeCell ref="M21:M26"/>
    <mergeCell ref="N21:N26"/>
    <mergeCell ref="O21:O26"/>
    <mergeCell ref="P21:P26"/>
    <mergeCell ref="O27:O32"/>
    <mergeCell ref="P27:P32"/>
    <mergeCell ref="O33:O38"/>
    <mergeCell ref="P33:P38"/>
    <mergeCell ref="L39:L44"/>
    <mergeCell ref="M39:M44"/>
    <mergeCell ref="N39:N44"/>
    <mergeCell ref="A27:A32"/>
    <mergeCell ref="B27:B32"/>
    <mergeCell ref="C27:C32"/>
    <mergeCell ref="A33:A38"/>
    <mergeCell ref="B33:B38"/>
    <mergeCell ref="C33:C38"/>
    <mergeCell ref="D33:D38"/>
    <mergeCell ref="F33:F38"/>
    <mergeCell ref="H33:H38"/>
    <mergeCell ref="D27:D32"/>
    <mergeCell ref="F27:F32"/>
    <mergeCell ref="L33:L38"/>
    <mergeCell ref="M33:M38"/>
    <mergeCell ref="N33:N38"/>
    <mergeCell ref="H27:H32"/>
    <mergeCell ref="I27:I32"/>
    <mergeCell ref="J27:J32"/>
    <mergeCell ref="K27:K32"/>
    <mergeCell ref="L27:L32"/>
    <mergeCell ref="I33:I38"/>
    <mergeCell ref="J33:J38"/>
    <mergeCell ref="K33:K38"/>
    <mergeCell ref="M27:M32"/>
    <mergeCell ref="N27:N32"/>
    <mergeCell ref="A45:A50"/>
    <mergeCell ref="B45:B50"/>
    <mergeCell ref="C45:C50"/>
    <mergeCell ref="D45:D50"/>
    <mergeCell ref="F45:F50"/>
    <mergeCell ref="A39:A44"/>
    <mergeCell ref="B39:B44"/>
    <mergeCell ref="C39:C44"/>
    <mergeCell ref="D39:D44"/>
    <mergeCell ref="F39:F44"/>
    <mergeCell ref="F51:F56"/>
    <mergeCell ref="H51:H56"/>
    <mergeCell ref="I51:I56"/>
    <mergeCell ref="J51:J56"/>
    <mergeCell ref="K51:K56"/>
    <mergeCell ref="O39:O44"/>
    <mergeCell ref="P39:P44"/>
    <mergeCell ref="H45:H50"/>
    <mergeCell ref="I45:I50"/>
    <mergeCell ref="J45:J50"/>
    <mergeCell ref="K45:K50"/>
    <mergeCell ref="L45:L50"/>
    <mergeCell ref="H39:H44"/>
    <mergeCell ref="I39:I44"/>
    <mergeCell ref="J39:J44"/>
    <mergeCell ref="K39:K44"/>
    <mergeCell ref="M45:M50"/>
    <mergeCell ref="N45:N50"/>
    <mergeCell ref="O45:O50"/>
    <mergeCell ref="P45:P50"/>
    <mergeCell ref="B63:AL63"/>
    <mergeCell ref="O51:O56"/>
    <mergeCell ref="P51:P56"/>
    <mergeCell ref="A57:A62"/>
    <mergeCell ref="B57:B62"/>
    <mergeCell ref="C57:C62"/>
    <mergeCell ref="D57:D62"/>
    <mergeCell ref="F57:F62"/>
    <mergeCell ref="H57:H62"/>
    <mergeCell ref="I57:I62"/>
    <mergeCell ref="J57:J62"/>
    <mergeCell ref="K57:K62"/>
    <mergeCell ref="L57:L62"/>
    <mergeCell ref="M57:M62"/>
    <mergeCell ref="N57:N62"/>
    <mergeCell ref="O57:O62"/>
    <mergeCell ref="P57:P62"/>
    <mergeCell ref="L51:L56"/>
    <mergeCell ref="M51:M56"/>
    <mergeCell ref="N51:N56"/>
    <mergeCell ref="A51:A56"/>
    <mergeCell ref="B51:B56"/>
    <mergeCell ref="C51:C56"/>
    <mergeCell ref="D51:D56"/>
    <mergeCell ref="C4:AL4"/>
    <mergeCell ref="C5:AL5"/>
    <mergeCell ref="C6:AL6"/>
    <mergeCell ref="A1:AL2"/>
    <mergeCell ref="A7:I7"/>
    <mergeCell ref="J7:P7"/>
    <mergeCell ref="Q7:Y7"/>
    <mergeCell ref="Z7:AF7"/>
    <mergeCell ref="AG7:AL7"/>
    <mergeCell ref="R10:R11"/>
    <mergeCell ref="S10:S11"/>
    <mergeCell ref="T10:T11"/>
    <mergeCell ref="U10:U11"/>
    <mergeCell ref="V10:V11"/>
    <mergeCell ref="W10:W11"/>
    <mergeCell ref="X10:X11"/>
    <mergeCell ref="Y10:Y11"/>
    <mergeCell ref="Z10:Z11"/>
    <mergeCell ref="AJ10:AJ11"/>
    <mergeCell ref="AK10:AK11"/>
    <mergeCell ref="AL10:AL11"/>
    <mergeCell ref="AA10:AA11"/>
    <mergeCell ref="AB10:AB11"/>
    <mergeCell ref="AC10:AC11"/>
    <mergeCell ref="AD10:AD11"/>
    <mergeCell ref="AE10:AE11"/>
    <mergeCell ref="AF10:AF11"/>
    <mergeCell ref="AG10:AG11"/>
    <mergeCell ref="AH10:AH11"/>
    <mergeCell ref="AI10:AI11"/>
  </mergeCells>
  <conditionalFormatting sqref="J10 J12 J15 J21 J27 J33 J39 J45 J51 J57">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 N12 N15 N21 N27 N33 N39 N45 N51 N57">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2 P15 P21 P27 P33 P39 P45 P51 P57">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15:AA20">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15:AC20">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15:AE20">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1:AA26">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1:AC26">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1:AE26">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27:AA32">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27:AC32">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27:AE32">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3:AA38">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3:AC38">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3:AE38">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39:AA44">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39:AC44">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39:AE44">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45:AA50">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45:AC50">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45:AE50">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1:AA56">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1:AC56">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1:AE56">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57:AA62">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57:AC62">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57:AE62">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2">
    <cfRule type="containsText" dxfId="44" priority="43" operator="containsText" text="❌">
      <formula>NOT(ISERROR(SEARCH("❌",M10)))</formula>
    </cfRule>
  </conditionalFormatting>
  <conditionalFormatting sqref="AA12">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2">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2">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3:AA14">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3:AC14">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3:AE14">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0866141732283472" right="0.70866141732283472" top="0.74803149606299213" bottom="0.74803149606299213" header="0.31496062992125984" footer="0.31496062992125984"/>
  <pageSetup paperSize="5" scale="43"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T10 T15:T62 T12</xm:sqref>
        </x14:dataValidation>
        <x14:dataValidation type="list" allowBlank="1" showInputMessage="1" showErrorMessage="1">
          <x14:formula1>
            <xm:f>'Tabla Valoración controles'!$D$7:$D$8</xm:f>
          </x14:formula1>
          <xm:sqref>U10 U15:U62 U12</xm:sqref>
        </x14:dataValidation>
        <x14:dataValidation type="list" allowBlank="1" showInputMessage="1" showErrorMessage="1">
          <x14:formula1>
            <xm:f>'Tabla Valoración controles'!$D$9:$D$10</xm:f>
          </x14:formula1>
          <xm:sqref>W10 W15:W62 W12</xm:sqref>
        </x14:dataValidation>
        <x14:dataValidation type="list" allowBlank="1" showInputMessage="1" showErrorMessage="1">
          <x14:formula1>
            <xm:f>'Tabla Valoración controles'!$D$11:$D$12</xm:f>
          </x14:formula1>
          <xm:sqref>X10 X15:X62 X12</xm:sqref>
        </x14:dataValidation>
        <x14:dataValidation type="list" allowBlank="1" showInputMessage="1" showErrorMessage="1">
          <x14:formula1>
            <xm:f>'Opciones Tratamiento'!$B$9:$B$10</xm:f>
          </x14:formula1>
          <xm:sqref>AL60:AL61 AL12:AL13 AL15:AL16 AL18:AL19 AL21:AL22 AL24:AL25 AL27:AL28 AL30:AL31 AL33:AL34 AL36:AL37 AL39:AL40 AL42:AL43 AL45:AL46 AL48:AL49 AL51:AL52 AL54:AL55 AL57:AL58 AL10</xm:sqref>
        </x14:dataValidation>
        <x14:dataValidation type="list" allowBlank="1" showInputMessage="1" showErrorMessage="1">
          <x14:formula1>
            <xm:f>'Tabla Valoración controles'!$D$13:$D$14</xm:f>
          </x14:formula1>
          <xm:sqref>Y10 Y15:Y62 Y12</xm:sqref>
        </x14:dataValidation>
        <x14:dataValidation type="list" allowBlank="1" showInputMessage="1" showErrorMessage="1">
          <x14:formula1>
            <xm:f>'Opciones Tratamiento'!$B$2:$B$5</xm:f>
          </x14:formula1>
          <xm:sqref>AF10 AF12:AF62</xm:sqref>
        </x14:dataValidation>
        <x14:dataValidation type="list" allowBlank="1" showInputMessage="1" showErrorMessage="1">
          <x14:formula1>
            <xm:f>'C:\Users\HOME\Downloads\[Formato Matriz de Riesgos 2021 (1).xlsx]Tabla Valoración controles'!#REF!</xm:f>
          </x14:formula1>
          <xm:sqref>W13:Y14 T13:U14</xm:sqref>
        </x14:dataValidation>
        <x14:dataValidation type="list" allowBlank="1" showInputMessage="1" showErrorMessage="1">
          <x14:formula1>
            <xm:f>'Opciones Tratamiento'!$B$13:$B$19</xm:f>
          </x14:formula1>
          <xm:sqref>H10:H62</xm:sqref>
        </x14:dataValidation>
        <x14:dataValidation type="list" allowBlank="1" showInputMessage="1" showErrorMessage="1">
          <x14:formula1>
            <xm:f>'Opciones Tratamiento'!$E$2:$E$4</xm:f>
          </x14:formula1>
          <xm:sqref>B10:B62</xm:sqref>
        </x14:dataValidation>
        <x14:dataValidation type="list" allowBlank="1" showInputMessage="1" showErrorMessage="1">
          <x14:formula1>
            <xm:f>'Tabla Impacto'!$F$210:$F$221</xm:f>
          </x14:formula1>
          <xm:sqref>L10:L62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AG12:AG62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 AH12:AH62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 AI12:AI62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AJ10:AK10 AJ12:AK62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AT44" sqref="AT44"/>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379" t="s">
        <v>150</v>
      </c>
      <c r="C2" s="379"/>
      <c r="D2" s="379"/>
      <c r="E2" s="379"/>
      <c r="F2" s="379"/>
      <c r="G2" s="379"/>
      <c r="H2" s="379"/>
      <c r="I2" s="379"/>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379"/>
      <c r="C3" s="379"/>
      <c r="D3" s="379"/>
      <c r="E3" s="379"/>
      <c r="F3" s="379"/>
      <c r="G3" s="379"/>
      <c r="H3" s="379"/>
      <c r="I3" s="379"/>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379"/>
      <c r="C4" s="379"/>
      <c r="D4" s="379"/>
      <c r="E4" s="379"/>
      <c r="F4" s="379"/>
      <c r="G4" s="379"/>
      <c r="H4" s="379"/>
      <c r="I4" s="379"/>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294" t="s">
        <v>4</v>
      </c>
      <c r="C6" s="294"/>
      <c r="D6" s="295"/>
      <c r="E6" s="332" t="s">
        <v>111</v>
      </c>
      <c r="F6" s="333"/>
      <c r="G6" s="333"/>
      <c r="H6" s="333"/>
      <c r="I6" s="334"/>
      <c r="J6" s="343" t="str">
        <f ca="1">IF(AND('Mapa final'!$J$10="Muy Alta",'Mapa final'!$N$10="Leve"),CONCATENATE("R",'Mapa final'!$A$10),"")</f>
        <v/>
      </c>
      <c r="K6" s="344"/>
      <c r="L6" s="344" t="str">
        <f ca="1">IF(AND('Mapa final'!$J$12="Muy Alta",'Mapa final'!$N$12="Leve"),CONCATENATE("R",'Mapa final'!$A$12),"")</f>
        <v/>
      </c>
      <c r="M6" s="344"/>
      <c r="N6" s="344" t="str">
        <f ca="1">IF(AND('Mapa final'!$J$15="Muy Alta",'Mapa final'!$N$15="Leve"),CONCATENATE("R",'Mapa final'!$A$15),"")</f>
        <v/>
      </c>
      <c r="O6" s="346"/>
      <c r="P6" s="343" t="str">
        <f ca="1">IF(AND('Mapa final'!$J$10="Muy Alta",'Mapa final'!$N$10="Menor"),CONCATENATE("R",'Mapa final'!$A$10),"")</f>
        <v/>
      </c>
      <c r="Q6" s="344"/>
      <c r="R6" s="344" t="str">
        <f ca="1">IF(AND('Mapa final'!$J$12="Muy Alta",'Mapa final'!$N$12="Menor"),CONCATENATE("R",'Mapa final'!$A$12),"")</f>
        <v/>
      </c>
      <c r="S6" s="344"/>
      <c r="T6" s="344" t="str">
        <f ca="1">IF(AND('Mapa final'!$J$15="Muy Alta",'Mapa final'!$N$15="Menor"),CONCATENATE("R",'Mapa final'!$A$15),"")</f>
        <v/>
      </c>
      <c r="U6" s="346"/>
      <c r="V6" s="343" t="str">
        <f ca="1">IF(AND('Mapa final'!$J$10="Muy Alta",'Mapa final'!$N$10="Moderado"),CONCATENATE("R",'Mapa final'!$A$10),"")</f>
        <v/>
      </c>
      <c r="W6" s="344"/>
      <c r="X6" s="344" t="str">
        <f ca="1">IF(AND('Mapa final'!$J$12="Muy Alta",'Mapa final'!$N$12="Moderado"),CONCATENATE("R",'Mapa final'!$A$12),"")</f>
        <v/>
      </c>
      <c r="Y6" s="344"/>
      <c r="Z6" s="344" t="str">
        <f ca="1">IF(AND('Mapa final'!$J$15="Muy Alta",'Mapa final'!$N$15="Moderado"),CONCATENATE("R",'Mapa final'!$A$15),"")</f>
        <v/>
      </c>
      <c r="AA6" s="346"/>
      <c r="AB6" s="343" t="str">
        <f ca="1">IF(AND('Mapa final'!$J$10="Muy Alta",'Mapa final'!$N$10="Mayor"),CONCATENATE("R",'Mapa final'!$A$10),"")</f>
        <v/>
      </c>
      <c r="AC6" s="344"/>
      <c r="AD6" s="344" t="str">
        <f ca="1">IF(AND('Mapa final'!$J$12="Muy Alta",'Mapa final'!$N$12="Mayor"),CONCATENATE("R",'Mapa final'!$A$12),"")</f>
        <v/>
      </c>
      <c r="AE6" s="344"/>
      <c r="AF6" s="344" t="str">
        <f ca="1">IF(AND('Mapa final'!$J$15="Muy Alta",'Mapa final'!$N$15="Mayor"),CONCATENATE("R",'Mapa final'!$A$15),"")</f>
        <v/>
      </c>
      <c r="AG6" s="346"/>
      <c r="AH6" s="358" t="str">
        <f ca="1">IF(AND('Mapa final'!$J$10="Muy Alta",'Mapa final'!$N$10="Catastrófico"),CONCATENATE("R",'Mapa final'!$A$10),"")</f>
        <v/>
      </c>
      <c r="AI6" s="359"/>
      <c r="AJ6" s="359" t="str">
        <f ca="1">IF(AND('Mapa final'!$J$12="Muy Alta",'Mapa final'!$N$12="Catastrófico"),CONCATENATE("R",'Mapa final'!$A$12),"")</f>
        <v/>
      </c>
      <c r="AK6" s="359"/>
      <c r="AL6" s="359" t="str">
        <f ca="1">IF(AND('Mapa final'!$J$15="Muy Alta",'Mapa final'!$N$15="Catastrófico"),CONCATENATE("R",'Mapa final'!$A$15),"")</f>
        <v/>
      </c>
      <c r="AM6" s="360"/>
      <c r="AO6" s="296" t="s">
        <v>78</v>
      </c>
      <c r="AP6" s="297"/>
      <c r="AQ6" s="297"/>
      <c r="AR6" s="297"/>
      <c r="AS6" s="297"/>
      <c r="AT6" s="298"/>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294"/>
      <c r="C7" s="294"/>
      <c r="D7" s="295"/>
      <c r="E7" s="335"/>
      <c r="F7" s="336"/>
      <c r="G7" s="336"/>
      <c r="H7" s="336"/>
      <c r="I7" s="337"/>
      <c r="J7" s="345"/>
      <c r="K7" s="341"/>
      <c r="L7" s="341"/>
      <c r="M7" s="341"/>
      <c r="N7" s="341"/>
      <c r="O7" s="342"/>
      <c r="P7" s="345"/>
      <c r="Q7" s="341"/>
      <c r="R7" s="341"/>
      <c r="S7" s="341"/>
      <c r="T7" s="341"/>
      <c r="U7" s="342"/>
      <c r="V7" s="345"/>
      <c r="W7" s="341"/>
      <c r="X7" s="341"/>
      <c r="Y7" s="341"/>
      <c r="Z7" s="341"/>
      <c r="AA7" s="342"/>
      <c r="AB7" s="345"/>
      <c r="AC7" s="341"/>
      <c r="AD7" s="341"/>
      <c r="AE7" s="341"/>
      <c r="AF7" s="341"/>
      <c r="AG7" s="342"/>
      <c r="AH7" s="352"/>
      <c r="AI7" s="353"/>
      <c r="AJ7" s="353"/>
      <c r="AK7" s="353"/>
      <c r="AL7" s="353"/>
      <c r="AM7" s="354"/>
      <c r="AN7" s="67"/>
      <c r="AO7" s="299"/>
      <c r="AP7" s="300"/>
      <c r="AQ7" s="300"/>
      <c r="AR7" s="300"/>
      <c r="AS7" s="300"/>
      <c r="AT7" s="301"/>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294"/>
      <c r="C8" s="294"/>
      <c r="D8" s="295"/>
      <c r="E8" s="335"/>
      <c r="F8" s="336"/>
      <c r="G8" s="336"/>
      <c r="H8" s="336"/>
      <c r="I8" s="337"/>
      <c r="J8" s="345" t="str">
        <f ca="1">IF(AND('Mapa final'!$J$21="Muy Alta",'Mapa final'!$N$21="Leve"),CONCATENATE("R",'Mapa final'!$A$21),"")</f>
        <v/>
      </c>
      <c r="K8" s="341"/>
      <c r="L8" s="341" t="str">
        <f ca="1">IF(AND('Mapa final'!$J$27="Muy Alta",'Mapa final'!$N$27="Leve"),CONCATENATE("R",'Mapa final'!$A$27),"")</f>
        <v/>
      </c>
      <c r="M8" s="341"/>
      <c r="N8" s="341" t="str">
        <f ca="1">IF(AND('Mapa final'!$J$33="Muy Alta",'Mapa final'!$N$33="Leve"),CONCATENATE("R",'Mapa final'!$A$33),"")</f>
        <v/>
      </c>
      <c r="O8" s="342"/>
      <c r="P8" s="345" t="str">
        <f ca="1">IF(AND('Mapa final'!$J$21="Muy Alta",'Mapa final'!$N$21="Menor"),CONCATENATE("R",'Mapa final'!$A$21),"")</f>
        <v/>
      </c>
      <c r="Q8" s="341"/>
      <c r="R8" s="341" t="str">
        <f ca="1">IF(AND('Mapa final'!$J$27="Muy Alta",'Mapa final'!$N$27="Menor"),CONCATENATE("R",'Mapa final'!$A$27),"")</f>
        <v/>
      </c>
      <c r="S8" s="341"/>
      <c r="T8" s="341" t="str">
        <f ca="1">IF(AND('Mapa final'!$J$33="Muy Alta",'Mapa final'!$N$33="Menor"),CONCATENATE("R",'Mapa final'!$A$33),"")</f>
        <v/>
      </c>
      <c r="U8" s="342"/>
      <c r="V8" s="345" t="str">
        <f ca="1">IF(AND('Mapa final'!$J$21="Muy Alta",'Mapa final'!$N$21="Moderado"),CONCATENATE("R",'Mapa final'!$A$21),"")</f>
        <v/>
      </c>
      <c r="W8" s="341"/>
      <c r="X8" s="341" t="str">
        <f ca="1">IF(AND('Mapa final'!$J$27="Muy Alta",'Mapa final'!$N$27="Moderado"),CONCATENATE("R",'Mapa final'!$A$27),"")</f>
        <v/>
      </c>
      <c r="Y8" s="341"/>
      <c r="Z8" s="341" t="str">
        <f ca="1">IF(AND('Mapa final'!$J$33="Muy Alta",'Mapa final'!$N$33="Moderado"),CONCATENATE("R",'Mapa final'!$A$33),"")</f>
        <v/>
      </c>
      <c r="AA8" s="342"/>
      <c r="AB8" s="345" t="str">
        <f ca="1">IF(AND('Mapa final'!$J$21="Muy Alta",'Mapa final'!$N$21="Mayor"),CONCATENATE("R",'Mapa final'!$A$21),"")</f>
        <v/>
      </c>
      <c r="AC8" s="341"/>
      <c r="AD8" s="341" t="str">
        <f ca="1">IF(AND('Mapa final'!$J$27="Muy Alta",'Mapa final'!$N$27="Mayor"),CONCATENATE("R",'Mapa final'!$A$27),"")</f>
        <v/>
      </c>
      <c r="AE8" s="341"/>
      <c r="AF8" s="341" t="str">
        <f ca="1">IF(AND('Mapa final'!$J$33="Muy Alta",'Mapa final'!$N$33="Mayor"),CONCATENATE("R",'Mapa final'!$A$33),"")</f>
        <v/>
      </c>
      <c r="AG8" s="342"/>
      <c r="AH8" s="352" t="str">
        <f ca="1">IF(AND('Mapa final'!$J$21="Muy Alta",'Mapa final'!$N$21="Catastrófico"),CONCATENATE("R",'Mapa final'!$A$21),"")</f>
        <v/>
      </c>
      <c r="AI8" s="353"/>
      <c r="AJ8" s="353" t="str">
        <f ca="1">IF(AND('Mapa final'!$J$27="Muy Alta",'Mapa final'!$N$27="Catastrófico"),CONCATENATE("R",'Mapa final'!$A$27),"")</f>
        <v/>
      </c>
      <c r="AK8" s="353"/>
      <c r="AL8" s="353" t="str">
        <f ca="1">IF(AND('Mapa final'!$J$33="Muy Alta",'Mapa final'!$N$33="Catastrófico"),CONCATENATE("R",'Mapa final'!$A$33),"")</f>
        <v/>
      </c>
      <c r="AM8" s="354"/>
      <c r="AN8" s="67"/>
      <c r="AO8" s="299"/>
      <c r="AP8" s="300"/>
      <c r="AQ8" s="300"/>
      <c r="AR8" s="300"/>
      <c r="AS8" s="300"/>
      <c r="AT8" s="301"/>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294"/>
      <c r="C9" s="294"/>
      <c r="D9" s="295"/>
      <c r="E9" s="335"/>
      <c r="F9" s="336"/>
      <c r="G9" s="336"/>
      <c r="H9" s="336"/>
      <c r="I9" s="337"/>
      <c r="J9" s="345"/>
      <c r="K9" s="341"/>
      <c r="L9" s="341"/>
      <c r="M9" s="341"/>
      <c r="N9" s="341"/>
      <c r="O9" s="342"/>
      <c r="P9" s="345"/>
      <c r="Q9" s="341"/>
      <c r="R9" s="341"/>
      <c r="S9" s="341"/>
      <c r="T9" s="341"/>
      <c r="U9" s="342"/>
      <c r="V9" s="345"/>
      <c r="W9" s="341"/>
      <c r="X9" s="341"/>
      <c r="Y9" s="341"/>
      <c r="Z9" s="341"/>
      <c r="AA9" s="342"/>
      <c r="AB9" s="345"/>
      <c r="AC9" s="341"/>
      <c r="AD9" s="341"/>
      <c r="AE9" s="341"/>
      <c r="AF9" s="341"/>
      <c r="AG9" s="342"/>
      <c r="AH9" s="352"/>
      <c r="AI9" s="353"/>
      <c r="AJ9" s="353"/>
      <c r="AK9" s="353"/>
      <c r="AL9" s="353"/>
      <c r="AM9" s="354"/>
      <c r="AN9" s="67"/>
      <c r="AO9" s="299"/>
      <c r="AP9" s="300"/>
      <c r="AQ9" s="300"/>
      <c r="AR9" s="300"/>
      <c r="AS9" s="300"/>
      <c r="AT9" s="301"/>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294"/>
      <c r="C10" s="294"/>
      <c r="D10" s="295"/>
      <c r="E10" s="335"/>
      <c r="F10" s="336"/>
      <c r="G10" s="336"/>
      <c r="H10" s="336"/>
      <c r="I10" s="337"/>
      <c r="J10" s="345" t="str">
        <f ca="1">IF(AND('Mapa final'!$J$39="Muy Alta",'Mapa final'!$N$39="Leve"),CONCATENATE("R",'Mapa final'!$A$39),"")</f>
        <v/>
      </c>
      <c r="K10" s="341"/>
      <c r="L10" s="341" t="str">
        <f ca="1">IF(AND('Mapa final'!$J$45="Muy Alta",'Mapa final'!$N$45="Leve"),CONCATENATE("R",'Mapa final'!$A$45),"")</f>
        <v/>
      </c>
      <c r="M10" s="341"/>
      <c r="N10" s="341" t="str">
        <f ca="1">IF(AND('Mapa final'!$J$51="Muy Alta",'Mapa final'!$N$51="Leve"),CONCATENATE("R",'Mapa final'!$A$51),"")</f>
        <v/>
      </c>
      <c r="O10" s="342"/>
      <c r="P10" s="345" t="str">
        <f ca="1">IF(AND('Mapa final'!$J$39="Muy Alta",'Mapa final'!$N$39="Menor"),CONCATENATE("R",'Mapa final'!$A$39),"")</f>
        <v/>
      </c>
      <c r="Q10" s="341"/>
      <c r="R10" s="341" t="str">
        <f ca="1">IF(AND('Mapa final'!$J$45="Muy Alta",'Mapa final'!$N$45="Menor"),CONCATENATE("R",'Mapa final'!$A$45),"")</f>
        <v/>
      </c>
      <c r="S10" s="341"/>
      <c r="T10" s="341" t="str">
        <f ca="1">IF(AND('Mapa final'!$J$51="Muy Alta",'Mapa final'!$N$51="Menor"),CONCATENATE("R",'Mapa final'!$A$51),"")</f>
        <v/>
      </c>
      <c r="U10" s="342"/>
      <c r="V10" s="345" t="str">
        <f ca="1">IF(AND('Mapa final'!$J$39="Muy Alta",'Mapa final'!$N$39="Moderado"),CONCATENATE("R",'Mapa final'!$A$39),"")</f>
        <v/>
      </c>
      <c r="W10" s="341"/>
      <c r="X10" s="341" t="str">
        <f ca="1">IF(AND('Mapa final'!$J$45="Muy Alta",'Mapa final'!$N$45="Moderado"),CONCATENATE("R",'Mapa final'!$A$45),"")</f>
        <v/>
      </c>
      <c r="Y10" s="341"/>
      <c r="Z10" s="341" t="str">
        <f ca="1">IF(AND('Mapa final'!$J$51="Muy Alta",'Mapa final'!$N$51="Moderado"),CONCATENATE("R",'Mapa final'!$A$51),"")</f>
        <v/>
      </c>
      <c r="AA10" s="342"/>
      <c r="AB10" s="345" t="str">
        <f ca="1">IF(AND('Mapa final'!$J$39="Muy Alta",'Mapa final'!$N$39="Mayor"),CONCATENATE("R",'Mapa final'!$A$39),"")</f>
        <v/>
      </c>
      <c r="AC10" s="341"/>
      <c r="AD10" s="341" t="str">
        <f ca="1">IF(AND('Mapa final'!$J$45="Muy Alta",'Mapa final'!$N$45="Mayor"),CONCATENATE("R",'Mapa final'!$A$45),"")</f>
        <v/>
      </c>
      <c r="AE10" s="341"/>
      <c r="AF10" s="341" t="str">
        <f ca="1">IF(AND('Mapa final'!$J$51="Muy Alta",'Mapa final'!$N$51="Mayor"),CONCATENATE("R",'Mapa final'!$A$51),"")</f>
        <v/>
      </c>
      <c r="AG10" s="342"/>
      <c r="AH10" s="352" t="str">
        <f ca="1">IF(AND('Mapa final'!$J$39="Muy Alta",'Mapa final'!$N$39="Catastrófico"),CONCATENATE("R",'Mapa final'!$A$39),"")</f>
        <v/>
      </c>
      <c r="AI10" s="353"/>
      <c r="AJ10" s="353" t="str">
        <f ca="1">IF(AND('Mapa final'!$J$45="Muy Alta",'Mapa final'!$N$45="Catastrófico"),CONCATENATE("R",'Mapa final'!$A$45),"")</f>
        <v/>
      </c>
      <c r="AK10" s="353"/>
      <c r="AL10" s="353" t="str">
        <f ca="1">IF(AND('Mapa final'!$J$51="Muy Alta",'Mapa final'!$N$51="Catastrófico"),CONCATENATE("R",'Mapa final'!$A$51),"")</f>
        <v/>
      </c>
      <c r="AM10" s="354"/>
      <c r="AN10" s="67"/>
      <c r="AO10" s="299"/>
      <c r="AP10" s="300"/>
      <c r="AQ10" s="300"/>
      <c r="AR10" s="300"/>
      <c r="AS10" s="300"/>
      <c r="AT10" s="301"/>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294"/>
      <c r="C11" s="294"/>
      <c r="D11" s="295"/>
      <c r="E11" s="335"/>
      <c r="F11" s="336"/>
      <c r="G11" s="336"/>
      <c r="H11" s="336"/>
      <c r="I11" s="337"/>
      <c r="J11" s="345"/>
      <c r="K11" s="341"/>
      <c r="L11" s="341"/>
      <c r="M11" s="341"/>
      <c r="N11" s="341"/>
      <c r="O11" s="342"/>
      <c r="P11" s="345"/>
      <c r="Q11" s="341"/>
      <c r="R11" s="341"/>
      <c r="S11" s="341"/>
      <c r="T11" s="341"/>
      <c r="U11" s="342"/>
      <c r="V11" s="345"/>
      <c r="W11" s="341"/>
      <c r="X11" s="341"/>
      <c r="Y11" s="341"/>
      <c r="Z11" s="341"/>
      <c r="AA11" s="342"/>
      <c r="AB11" s="345"/>
      <c r="AC11" s="341"/>
      <c r="AD11" s="341"/>
      <c r="AE11" s="341"/>
      <c r="AF11" s="341"/>
      <c r="AG11" s="342"/>
      <c r="AH11" s="352"/>
      <c r="AI11" s="353"/>
      <c r="AJ11" s="353"/>
      <c r="AK11" s="353"/>
      <c r="AL11" s="353"/>
      <c r="AM11" s="354"/>
      <c r="AN11" s="67"/>
      <c r="AO11" s="299"/>
      <c r="AP11" s="300"/>
      <c r="AQ11" s="300"/>
      <c r="AR11" s="300"/>
      <c r="AS11" s="300"/>
      <c r="AT11" s="301"/>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294"/>
      <c r="C12" s="294"/>
      <c r="D12" s="295"/>
      <c r="E12" s="335"/>
      <c r="F12" s="336"/>
      <c r="G12" s="336"/>
      <c r="H12" s="336"/>
      <c r="I12" s="337"/>
      <c r="J12" s="345" t="str">
        <f ca="1">IF(AND('Mapa final'!$J$57="Muy Alta",'Mapa final'!$N$57="Leve"),CONCATENATE("R",'Mapa final'!$A$57),"")</f>
        <v/>
      </c>
      <c r="K12" s="341"/>
      <c r="L12" s="341" t="str">
        <f>IF(AND('Mapa final'!$J$63="Muy Alta",'Mapa final'!$N$63="Leve"),CONCATENATE("R",'Mapa final'!$A$63),"")</f>
        <v/>
      </c>
      <c r="M12" s="341"/>
      <c r="N12" s="341" t="str">
        <f>IF(AND('Mapa final'!$J$69="Muy Alta",'Mapa final'!$N$69="Leve"),CONCATENATE("R",'Mapa final'!$A$69),"")</f>
        <v/>
      </c>
      <c r="O12" s="342"/>
      <c r="P12" s="345" t="str">
        <f ca="1">IF(AND('Mapa final'!$J$57="Muy Alta",'Mapa final'!$N$57="Menor"),CONCATENATE("R",'Mapa final'!$A$57),"")</f>
        <v/>
      </c>
      <c r="Q12" s="341"/>
      <c r="R12" s="341" t="str">
        <f>IF(AND('Mapa final'!$J$63="Muy Alta",'Mapa final'!$N$63="Menor"),CONCATENATE("R",'Mapa final'!$A$63),"")</f>
        <v/>
      </c>
      <c r="S12" s="341"/>
      <c r="T12" s="341" t="str">
        <f>IF(AND('Mapa final'!$J$69="Muy Alta",'Mapa final'!$N$69="Menor"),CONCATENATE("R",'Mapa final'!$A$69),"")</f>
        <v/>
      </c>
      <c r="U12" s="342"/>
      <c r="V12" s="345" t="str">
        <f ca="1">IF(AND('Mapa final'!$J$57="Muy Alta",'Mapa final'!$N$57="Moderado"),CONCATENATE("R",'Mapa final'!$A$57),"")</f>
        <v/>
      </c>
      <c r="W12" s="341"/>
      <c r="X12" s="341" t="str">
        <f>IF(AND('Mapa final'!$J$63="Muy Alta",'Mapa final'!$N$63="Moderado"),CONCATENATE("R",'Mapa final'!$A$63),"")</f>
        <v/>
      </c>
      <c r="Y12" s="341"/>
      <c r="Z12" s="341" t="str">
        <f>IF(AND('Mapa final'!$J$69="Muy Alta",'Mapa final'!$N$69="Moderado"),CONCATENATE("R",'Mapa final'!$A$69),"")</f>
        <v/>
      </c>
      <c r="AA12" s="342"/>
      <c r="AB12" s="345" t="str">
        <f ca="1">IF(AND('Mapa final'!$J$57="Muy Alta",'Mapa final'!$N$57="Mayor"),CONCATENATE("R",'Mapa final'!$A$57),"")</f>
        <v/>
      </c>
      <c r="AC12" s="341"/>
      <c r="AD12" s="341" t="str">
        <f>IF(AND('Mapa final'!$J$63="Muy Alta",'Mapa final'!$N$63="Mayor"),CONCATENATE("R",'Mapa final'!$A$63),"")</f>
        <v/>
      </c>
      <c r="AE12" s="341"/>
      <c r="AF12" s="341" t="str">
        <f>IF(AND('Mapa final'!$J$69="Muy Alta",'Mapa final'!$N$69="Mayor"),CONCATENATE("R",'Mapa final'!$A$69),"")</f>
        <v/>
      </c>
      <c r="AG12" s="342"/>
      <c r="AH12" s="352" t="str">
        <f ca="1">IF(AND('Mapa final'!$J$57="Muy Alta",'Mapa final'!$N$57="Catastrófico"),CONCATENATE("R",'Mapa final'!$A$57),"")</f>
        <v/>
      </c>
      <c r="AI12" s="353"/>
      <c r="AJ12" s="353" t="str">
        <f>IF(AND('Mapa final'!$J$63="Muy Alta",'Mapa final'!$N$63="Catastrófico"),CONCATENATE("R",'Mapa final'!$A$63),"")</f>
        <v/>
      </c>
      <c r="AK12" s="353"/>
      <c r="AL12" s="353" t="str">
        <f>IF(AND('Mapa final'!$J$69="Muy Alta",'Mapa final'!$N$69="Catastrófico"),CONCATENATE("R",'Mapa final'!$A$69),"")</f>
        <v/>
      </c>
      <c r="AM12" s="354"/>
      <c r="AN12" s="67"/>
      <c r="AO12" s="299"/>
      <c r="AP12" s="300"/>
      <c r="AQ12" s="300"/>
      <c r="AR12" s="300"/>
      <c r="AS12" s="300"/>
      <c r="AT12" s="301"/>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294"/>
      <c r="C13" s="294"/>
      <c r="D13" s="295"/>
      <c r="E13" s="338"/>
      <c r="F13" s="339"/>
      <c r="G13" s="339"/>
      <c r="H13" s="339"/>
      <c r="I13" s="340"/>
      <c r="J13" s="345"/>
      <c r="K13" s="341"/>
      <c r="L13" s="341"/>
      <c r="M13" s="341"/>
      <c r="N13" s="341"/>
      <c r="O13" s="342"/>
      <c r="P13" s="345"/>
      <c r="Q13" s="341"/>
      <c r="R13" s="341"/>
      <c r="S13" s="341"/>
      <c r="T13" s="341"/>
      <c r="U13" s="342"/>
      <c r="V13" s="345"/>
      <c r="W13" s="341"/>
      <c r="X13" s="341"/>
      <c r="Y13" s="341"/>
      <c r="Z13" s="341"/>
      <c r="AA13" s="342"/>
      <c r="AB13" s="345"/>
      <c r="AC13" s="341"/>
      <c r="AD13" s="341"/>
      <c r="AE13" s="341"/>
      <c r="AF13" s="341"/>
      <c r="AG13" s="342"/>
      <c r="AH13" s="355"/>
      <c r="AI13" s="356"/>
      <c r="AJ13" s="356"/>
      <c r="AK13" s="356"/>
      <c r="AL13" s="356"/>
      <c r="AM13" s="357"/>
      <c r="AN13" s="67"/>
      <c r="AO13" s="302"/>
      <c r="AP13" s="303"/>
      <c r="AQ13" s="303"/>
      <c r="AR13" s="303"/>
      <c r="AS13" s="303"/>
      <c r="AT13" s="304"/>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294"/>
      <c r="C14" s="294"/>
      <c r="D14" s="295"/>
      <c r="E14" s="332" t="s">
        <v>110</v>
      </c>
      <c r="F14" s="333"/>
      <c r="G14" s="333"/>
      <c r="H14" s="333"/>
      <c r="I14" s="333"/>
      <c r="J14" s="367" t="str">
        <f ca="1">IF(AND('Mapa final'!$J$10="Alta",'Mapa final'!$N$10="Leve"),CONCATENATE("R",'Mapa final'!$A$10),"")</f>
        <v/>
      </c>
      <c r="K14" s="368"/>
      <c r="L14" s="368" t="str">
        <f ca="1">IF(AND('Mapa final'!$J$12="Alta",'Mapa final'!$N$12="Leve"),CONCATENATE("R",'Mapa final'!$A$12),"")</f>
        <v/>
      </c>
      <c r="M14" s="368"/>
      <c r="N14" s="368" t="str">
        <f ca="1">IF(AND('Mapa final'!$J$15="Alta",'Mapa final'!$N$15="Leve"),CONCATENATE("R",'Mapa final'!$A$15),"")</f>
        <v/>
      </c>
      <c r="O14" s="369"/>
      <c r="P14" s="367" t="str">
        <f ca="1">IF(AND('Mapa final'!$J$10="Alta",'Mapa final'!$N$10="Menor"),CONCATENATE("R",'Mapa final'!$A$10),"")</f>
        <v/>
      </c>
      <c r="Q14" s="368"/>
      <c r="R14" s="368" t="str">
        <f ca="1">IF(AND('Mapa final'!$J$12="Alta",'Mapa final'!$N$12="Menor"),CONCATENATE("R",'Mapa final'!$A$12),"")</f>
        <v/>
      </c>
      <c r="S14" s="368"/>
      <c r="T14" s="368" t="str">
        <f ca="1">IF(AND('Mapa final'!$J$15="Alta",'Mapa final'!$N$15="Menor"),CONCATENATE("R",'Mapa final'!$A$15),"")</f>
        <v/>
      </c>
      <c r="U14" s="369"/>
      <c r="V14" s="343" t="str">
        <f ca="1">IF(AND('Mapa final'!$J$10="Alta",'Mapa final'!$N$10="Moderado"),CONCATENATE("R",'Mapa final'!$A$10),"")</f>
        <v/>
      </c>
      <c r="W14" s="344"/>
      <c r="X14" s="344" t="str">
        <f ca="1">IF(AND('Mapa final'!$J$12="Alta",'Mapa final'!$N$12="Moderado"),CONCATENATE("R",'Mapa final'!$A$12),"")</f>
        <v/>
      </c>
      <c r="Y14" s="344"/>
      <c r="Z14" s="344" t="str">
        <f ca="1">IF(AND('Mapa final'!$J$15="Alta",'Mapa final'!$N$15="Moderado"),CONCATENATE("R",'Mapa final'!$A$15),"")</f>
        <v/>
      </c>
      <c r="AA14" s="346"/>
      <c r="AB14" s="343" t="str">
        <f ca="1">IF(AND('Mapa final'!$J$10="Alta",'Mapa final'!$N$10="Mayor"),CONCATENATE("R",'Mapa final'!$A$10),"")</f>
        <v/>
      </c>
      <c r="AC14" s="344"/>
      <c r="AD14" s="344" t="str">
        <f ca="1">IF(AND('Mapa final'!$J$12="Alta",'Mapa final'!$N$12="Mayor"),CONCATENATE("R",'Mapa final'!$A$12),"")</f>
        <v/>
      </c>
      <c r="AE14" s="344"/>
      <c r="AF14" s="344" t="str">
        <f ca="1">IF(AND('Mapa final'!$J$15="Alta",'Mapa final'!$N$15="Mayor"),CONCATENATE("R",'Mapa final'!$A$15),"")</f>
        <v/>
      </c>
      <c r="AG14" s="346"/>
      <c r="AH14" s="358" t="str">
        <f ca="1">IF(AND('Mapa final'!$J$10="Alta",'Mapa final'!$N$10="Catastrófico"),CONCATENATE("R",'Mapa final'!$A$10),"")</f>
        <v/>
      </c>
      <c r="AI14" s="359"/>
      <c r="AJ14" s="359" t="str">
        <f ca="1">IF(AND('Mapa final'!$J$12="Alta",'Mapa final'!$N$12="Catastrófico"),CONCATENATE("R",'Mapa final'!$A$12),"")</f>
        <v/>
      </c>
      <c r="AK14" s="359"/>
      <c r="AL14" s="359" t="str">
        <f ca="1">IF(AND('Mapa final'!$J$15="Alta",'Mapa final'!$N$15="Catastrófico"),CONCATENATE("R",'Mapa final'!$A$15),"")</f>
        <v/>
      </c>
      <c r="AM14" s="360"/>
      <c r="AN14" s="67"/>
      <c r="AO14" s="305" t="s">
        <v>79</v>
      </c>
      <c r="AP14" s="306"/>
      <c r="AQ14" s="306"/>
      <c r="AR14" s="306"/>
      <c r="AS14" s="306"/>
      <c r="AT14" s="30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294"/>
      <c r="C15" s="294"/>
      <c r="D15" s="295"/>
      <c r="E15" s="335"/>
      <c r="F15" s="336"/>
      <c r="G15" s="336"/>
      <c r="H15" s="336"/>
      <c r="I15" s="336"/>
      <c r="J15" s="361"/>
      <c r="K15" s="362"/>
      <c r="L15" s="362"/>
      <c r="M15" s="362"/>
      <c r="N15" s="362"/>
      <c r="O15" s="363"/>
      <c r="P15" s="361"/>
      <c r="Q15" s="362"/>
      <c r="R15" s="362"/>
      <c r="S15" s="362"/>
      <c r="T15" s="362"/>
      <c r="U15" s="363"/>
      <c r="V15" s="345"/>
      <c r="W15" s="341"/>
      <c r="X15" s="341"/>
      <c r="Y15" s="341"/>
      <c r="Z15" s="341"/>
      <c r="AA15" s="342"/>
      <c r="AB15" s="345"/>
      <c r="AC15" s="341"/>
      <c r="AD15" s="341"/>
      <c r="AE15" s="341"/>
      <c r="AF15" s="341"/>
      <c r="AG15" s="342"/>
      <c r="AH15" s="352"/>
      <c r="AI15" s="353"/>
      <c r="AJ15" s="353"/>
      <c r="AK15" s="353"/>
      <c r="AL15" s="353"/>
      <c r="AM15" s="354"/>
      <c r="AN15" s="67"/>
      <c r="AO15" s="308"/>
      <c r="AP15" s="309"/>
      <c r="AQ15" s="309"/>
      <c r="AR15" s="309"/>
      <c r="AS15" s="309"/>
      <c r="AT15" s="31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294"/>
      <c r="C16" s="294"/>
      <c r="D16" s="295"/>
      <c r="E16" s="335"/>
      <c r="F16" s="336"/>
      <c r="G16" s="336"/>
      <c r="H16" s="336"/>
      <c r="I16" s="336"/>
      <c r="J16" s="361" t="str">
        <f ca="1">IF(AND('Mapa final'!$J$21="Alta",'Mapa final'!$N$21="Leve"),CONCATENATE("R",'Mapa final'!$A$21),"")</f>
        <v/>
      </c>
      <c r="K16" s="362"/>
      <c r="L16" s="362" t="str">
        <f ca="1">IF(AND('Mapa final'!$J$27="Alta",'Mapa final'!$N$27="Leve"),CONCATENATE("R",'Mapa final'!$A$27),"")</f>
        <v/>
      </c>
      <c r="M16" s="362"/>
      <c r="N16" s="362" t="str">
        <f ca="1">IF(AND('Mapa final'!$J$33="Alta",'Mapa final'!$N$33="Leve"),CONCATENATE("R",'Mapa final'!$A$33),"")</f>
        <v/>
      </c>
      <c r="O16" s="363"/>
      <c r="P16" s="361" t="str">
        <f ca="1">IF(AND('Mapa final'!$J$21="Alta",'Mapa final'!$N$21="Menor"),CONCATENATE("R",'Mapa final'!$A$21),"")</f>
        <v/>
      </c>
      <c r="Q16" s="362"/>
      <c r="R16" s="362" t="str">
        <f ca="1">IF(AND('Mapa final'!$J$27="Alta",'Mapa final'!$N$27="Menor"),CONCATENATE("R",'Mapa final'!$A$27),"")</f>
        <v/>
      </c>
      <c r="S16" s="362"/>
      <c r="T16" s="362" t="str">
        <f ca="1">IF(AND('Mapa final'!$J$33="Alta",'Mapa final'!$N$33="Menor"),CONCATENATE("R",'Mapa final'!$A$33),"")</f>
        <v/>
      </c>
      <c r="U16" s="363"/>
      <c r="V16" s="345" t="str">
        <f ca="1">IF(AND('Mapa final'!$J$21="Alta",'Mapa final'!$N$21="Moderado"),CONCATENATE("R",'Mapa final'!$A$21),"")</f>
        <v/>
      </c>
      <c r="W16" s="341"/>
      <c r="X16" s="341" t="str">
        <f ca="1">IF(AND('Mapa final'!$J$27="Alta",'Mapa final'!$N$27="Moderado"),CONCATENATE("R",'Mapa final'!$A$27),"")</f>
        <v/>
      </c>
      <c r="Y16" s="341"/>
      <c r="Z16" s="341" t="str">
        <f ca="1">IF(AND('Mapa final'!$J$33="Alta",'Mapa final'!$N$33="Moderado"),CONCATENATE("R",'Mapa final'!$A$33),"")</f>
        <v/>
      </c>
      <c r="AA16" s="342"/>
      <c r="AB16" s="345" t="str">
        <f ca="1">IF(AND('Mapa final'!$J$21="Alta",'Mapa final'!$N$21="Mayor"),CONCATENATE("R",'Mapa final'!$A$21),"")</f>
        <v/>
      </c>
      <c r="AC16" s="341"/>
      <c r="AD16" s="341" t="str">
        <f ca="1">IF(AND('Mapa final'!$J$27="Alta",'Mapa final'!$N$27="Mayor"),CONCATENATE("R",'Mapa final'!$A$27),"")</f>
        <v/>
      </c>
      <c r="AE16" s="341"/>
      <c r="AF16" s="341" t="str">
        <f ca="1">IF(AND('Mapa final'!$J$33="Alta",'Mapa final'!$N$33="Mayor"),CONCATENATE("R",'Mapa final'!$A$33),"")</f>
        <v/>
      </c>
      <c r="AG16" s="342"/>
      <c r="AH16" s="352" t="str">
        <f ca="1">IF(AND('Mapa final'!$J$21="Alta",'Mapa final'!$N$21="Catastrófico"),CONCATENATE("R",'Mapa final'!$A$21),"")</f>
        <v/>
      </c>
      <c r="AI16" s="353"/>
      <c r="AJ16" s="353" t="str">
        <f ca="1">IF(AND('Mapa final'!$J$27="Alta",'Mapa final'!$N$27="Catastrófico"),CONCATENATE("R",'Mapa final'!$A$27),"")</f>
        <v/>
      </c>
      <c r="AK16" s="353"/>
      <c r="AL16" s="353" t="str">
        <f ca="1">IF(AND('Mapa final'!$J$33="Alta",'Mapa final'!$N$33="Catastrófico"),CONCATENATE("R",'Mapa final'!$A$33),"")</f>
        <v/>
      </c>
      <c r="AM16" s="354"/>
      <c r="AN16" s="67"/>
      <c r="AO16" s="308"/>
      <c r="AP16" s="309"/>
      <c r="AQ16" s="309"/>
      <c r="AR16" s="309"/>
      <c r="AS16" s="309"/>
      <c r="AT16" s="310"/>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294"/>
      <c r="C17" s="294"/>
      <c r="D17" s="295"/>
      <c r="E17" s="335"/>
      <c r="F17" s="336"/>
      <c r="G17" s="336"/>
      <c r="H17" s="336"/>
      <c r="I17" s="336"/>
      <c r="J17" s="361"/>
      <c r="K17" s="362"/>
      <c r="L17" s="362"/>
      <c r="M17" s="362"/>
      <c r="N17" s="362"/>
      <c r="O17" s="363"/>
      <c r="P17" s="361"/>
      <c r="Q17" s="362"/>
      <c r="R17" s="362"/>
      <c r="S17" s="362"/>
      <c r="T17" s="362"/>
      <c r="U17" s="363"/>
      <c r="V17" s="345"/>
      <c r="W17" s="341"/>
      <c r="X17" s="341"/>
      <c r="Y17" s="341"/>
      <c r="Z17" s="341"/>
      <c r="AA17" s="342"/>
      <c r="AB17" s="345"/>
      <c r="AC17" s="341"/>
      <c r="AD17" s="341"/>
      <c r="AE17" s="341"/>
      <c r="AF17" s="341"/>
      <c r="AG17" s="342"/>
      <c r="AH17" s="352"/>
      <c r="AI17" s="353"/>
      <c r="AJ17" s="353"/>
      <c r="AK17" s="353"/>
      <c r="AL17" s="353"/>
      <c r="AM17" s="354"/>
      <c r="AN17" s="67"/>
      <c r="AO17" s="308"/>
      <c r="AP17" s="309"/>
      <c r="AQ17" s="309"/>
      <c r="AR17" s="309"/>
      <c r="AS17" s="309"/>
      <c r="AT17" s="31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294"/>
      <c r="C18" s="294"/>
      <c r="D18" s="295"/>
      <c r="E18" s="335"/>
      <c r="F18" s="336"/>
      <c r="G18" s="336"/>
      <c r="H18" s="336"/>
      <c r="I18" s="336"/>
      <c r="J18" s="361" t="str">
        <f ca="1">IF(AND('Mapa final'!$J$39="Alta",'Mapa final'!$N$39="Leve"),CONCATENATE("R",'Mapa final'!$A$39),"")</f>
        <v/>
      </c>
      <c r="K18" s="362"/>
      <c r="L18" s="362" t="str">
        <f ca="1">IF(AND('Mapa final'!$J$45="Alta",'Mapa final'!$N$45="Leve"),CONCATENATE("R",'Mapa final'!$A$45),"")</f>
        <v/>
      </c>
      <c r="M18" s="362"/>
      <c r="N18" s="362" t="str">
        <f ca="1">IF(AND('Mapa final'!$J$51="Alta",'Mapa final'!$N$51="Leve"),CONCATENATE("R",'Mapa final'!$A$51),"")</f>
        <v/>
      </c>
      <c r="O18" s="363"/>
      <c r="P18" s="361" t="str">
        <f ca="1">IF(AND('Mapa final'!$J$39="Alta",'Mapa final'!$N$39="Menor"),CONCATENATE("R",'Mapa final'!$A$39),"")</f>
        <v/>
      </c>
      <c r="Q18" s="362"/>
      <c r="R18" s="362" t="str">
        <f ca="1">IF(AND('Mapa final'!$J$45="Alta",'Mapa final'!$N$45="Menor"),CONCATENATE("R",'Mapa final'!$A$45),"")</f>
        <v/>
      </c>
      <c r="S18" s="362"/>
      <c r="T18" s="362" t="str">
        <f ca="1">IF(AND('Mapa final'!$J$51="Alta",'Mapa final'!$N$51="Menor"),CONCATENATE("R",'Mapa final'!$A$51),"")</f>
        <v/>
      </c>
      <c r="U18" s="363"/>
      <c r="V18" s="345" t="str">
        <f ca="1">IF(AND('Mapa final'!$J$39="Alta",'Mapa final'!$N$39="Moderado"),CONCATENATE("R",'Mapa final'!$A$39),"")</f>
        <v/>
      </c>
      <c r="W18" s="341"/>
      <c r="X18" s="341" t="str">
        <f ca="1">IF(AND('Mapa final'!$J$45="Alta",'Mapa final'!$N$45="Moderado"),CONCATENATE("R",'Mapa final'!$A$45),"")</f>
        <v/>
      </c>
      <c r="Y18" s="341"/>
      <c r="Z18" s="341" t="str">
        <f ca="1">IF(AND('Mapa final'!$J$51="Alta",'Mapa final'!$N$51="Moderado"),CONCATENATE("R",'Mapa final'!$A$51),"")</f>
        <v/>
      </c>
      <c r="AA18" s="342"/>
      <c r="AB18" s="345" t="str">
        <f ca="1">IF(AND('Mapa final'!$J$39="Alta",'Mapa final'!$N$39="Mayor"),CONCATENATE("R",'Mapa final'!$A$39),"")</f>
        <v/>
      </c>
      <c r="AC18" s="341"/>
      <c r="AD18" s="341" t="str">
        <f ca="1">IF(AND('Mapa final'!$J$45="Alta",'Mapa final'!$N$45="Mayor"),CONCATENATE("R",'Mapa final'!$A$45),"")</f>
        <v/>
      </c>
      <c r="AE18" s="341"/>
      <c r="AF18" s="341" t="str">
        <f ca="1">IF(AND('Mapa final'!$J$51="Alta",'Mapa final'!$N$51="Mayor"),CONCATENATE("R",'Mapa final'!$A$51),"")</f>
        <v/>
      </c>
      <c r="AG18" s="342"/>
      <c r="AH18" s="352" t="str">
        <f ca="1">IF(AND('Mapa final'!$J$39="Alta",'Mapa final'!$N$39="Catastrófico"),CONCATENATE("R",'Mapa final'!$A$39),"")</f>
        <v/>
      </c>
      <c r="AI18" s="353"/>
      <c r="AJ18" s="353" t="str">
        <f ca="1">IF(AND('Mapa final'!$J$45="Alta",'Mapa final'!$N$45="Catastrófico"),CONCATENATE("R",'Mapa final'!$A$45),"")</f>
        <v/>
      </c>
      <c r="AK18" s="353"/>
      <c r="AL18" s="353" t="str">
        <f ca="1">IF(AND('Mapa final'!$J$51="Alta",'Mapa final'!$N$51="Catastrófico"),CONCATENATE("R",'Mapa final'!$A$51),"")</f>
        <v/>
      </c>
      <c r="AM18" s="354"/>
      <c r="AN18" s="67"/>
      <c r="AO18" s="308"/>
      <c r="AP18" s="309"/>
      <c r="AQ18" s="309"/>
      <c r="AR18" s="309"/>
      <c r="AS18" s="309"/>
      <c r="AT18" s="31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294"/>
      <c r="C19" s="294"/>
      <c r="D19" s="295"/>
      <c r="E19" s="335"/>
      <c r="F19" s="336"/>
      <c r="G19" s="336"/>
      <c r="H19" s="336"/>
      <c r="I19" s="336"/>
      <c r="J19" s="361"/>
      <c r="K19" s="362"/>
      <c r="L19" s="362"/>
      <c r="M19" s="362"/>
      <c r="N19" s="362"/>
      <c r="O19" s="363"/>
      <c r="P19" s="361"/>
      <c r="Q19" s="362"/>
      <c r="R19" s="362"/>
      <c r="S19" s="362"/>
      <c r="T19" s="362"/>
      <c r="U19" s="363"/>
      <c r="V19" s="345"/>
      <c r="W19" s="341"/>
      <c r="X19" s="341"/>
      <c r="Y19" s="341"/>
      <c r="Z19" s="341"/>
      <c r="AA19" s="342"/>
      <c r="AB19" s="345"/>
      <c r="AC19" s="341"/>
      <c r="AD19" s="341"/>
      <c r="AE19" s="341"/>
      <c r="AF19" s="341"/>
      <c r="AG19" s="342"/>
      <c r="AH19" s="352"/>
      <c r="AI19" s="353"/>
      <c r="AJ19" s="353"/>
      <c r="AK19" s="353"/>
      <c r="AL19" s="353"/>
      <c r="AM19" s="354"/>
      <c r="AN19" s="67"/>
      <c r="AO19" s="308"/>
      <c r="AP19" s="309"/>
      <c r="AQ19" s="309"/>
      <c r="AR19" s="309"/>
      <c r="AS19" s="309"/>
      <c r="AT19" s="31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294"/>
      <c r="C20" s="294"/>
      <c r="D20" s="295"/>
      <c r="E20" s="335"/>
      <c r="F20" s="336"/>
      <c r="G20" s="336"/>
      <c r="H20" s="336"/>
      <c r="I20" s="336"/>
      <c r="J20" s="361" t="str">
        <f ca="1">IF(AND('Mapa final'!$J$57="Alta",'Mapa final'!$N$57="Leve"),CONCATENATE("R",'Mapa final'!$A$57),"")</f>
        <v/>
      </c>
      <c r="K20" s="362"/>
      <c r="L20" s="362" t="str">
        <f>IF(AND('Mapa final'!$J$63="Alta",'Mapa final'!$N$63="Leve"),CONCATENATE("R",'Mapa final'!$A$63),"")</f>
        <v/>
      </c>
      <c r="M20" s="362"/>
      <c r="N20" s="362" t="str">
        <f>IF(AND('Mapa final'!$J$69="Alta",'Mapa final'!$N$69="Leve"),CONCATENATE("R",'Mapa final'!$A$69),"")</f>
        <v/>
      </c>
      <c r="O20" s="363"/>
      <c r="P20" s="361" t="str">
        <f ca="1">IF(AND('Mapa final'!$J$57="Alta",'Mapa final'!$N$57="Menor"),CONCATENATE("R",'Mapa final'!$A$57),"")</f>
        <v/>
      </c>
      <c r="Q20" s="362"/>
      <c r="R20" s="362" t="str">
        <f>IF(AND('Mapa final'!$J$63="Alta",'Mapa final'!$N$63="Menor"),CONCATENATE("R",'Mapa final'!$A$63),"")</f>
        <v/>
      </c>
      <c r="S20" s="362"/>
      <c r="T20" s="362" t="str">
        <f>IF(AND('Mapa final'!$J$69="Alta",'Mapa final'!$N$69="Menor"),CONCATENATE("R",'Mapa final'!$A$69),"")</f>
        <v/>
      </c>
      <c r="U20" s="363"/>
      <c r="V20" s="345" t="str">
        <f ca="1">IF(AND('Mapa final'!$J$57="Alta",'Mapa final'!$N$57="Moderado"),CONCATENATE("R",'Mapa final'!$A$57),"")</f>
        <v/>
      </c>
      <c r="W20" s="341"/>
      <c r="X20" s="341" t="str">
        <f>IF(AND('Mapa final'!$J$63="Alta",'Mapa final'!$N$63="Moderado"),CONCATENATE("R",'Mapa final'!$A$63),"")</f>
        <v/>
      </c>
      <c r="Y20" s="341"/>
      <c r="Z20" s="341" t="str">
        <f>IF(AND('Mapa final'!$J$69="Alta",'Mapa final'!$N$69="Moderado"),CONCATENATE("R",'Mapa final'!$A$69),"")</f>
        <v/>
      </c>
      <c r="AA20" s="342"/>
      <c r="AB20" s="345" t="str">
        <f ca="1">IF(AND('Mapa final'!$J$57="Alta",'Mapa final'!$N$57="Mayor"),CONCATENATE("R",'Mapa final'!$A$57),"")</f>
        <v/>
      </c>
      <c r="AC20" s="341"/>
      <c r="AD20" s="341" t="str">
        <f>IF(AND('Mapa final'!$J$63="Alta",'Mapa final'!$N$63="Mayor"),CONCATENATE("R",'Mapa final'!$A$63),"")</f>
        <v/>
      </c>
      <c r="AE20" s="341"/>
      <c r="AF20" s="341" t="str">
        <f>IF(AND('Mapa final'!$J$69="Alta",'Mapa final'!$N$69="Mayor"),CONCATENATE("R",'Mapa final'!$A$69),"")</f>
        <v/>
      </c>
      <c r="AG20" s="342"/>
      <c r="AH20" s="352" t="str">
        <f ca="1">IF(AND('Mapa final'!$J$57="Alta",'Mapa final'!$N$57="Catastrófico"),CONCATENATE("R",'Mapa final'!$A$57),"")</f>
        <v/>
      </c>
      <c r="AI20" s="353"/>
      <c r="AJ20" s="353" t="str">
        <f>IF(AND('Mapa final'!$J$63="Alta",'Mapa final'!$N$63="Catastrófico"),CONCATENATE("R",'Mapa final'!$A$63),"")</f>
        <v/>
      </c>
      <c r="AK20" s="353"/>
      <c r="AL20" s="353" t="str">
        <f>IF(AND('Mapa final'!$J$69="Alta",'Mapa final'!$N$69="Catastrófico"),CONCATENATE("R",'Mapa final'!$A$69),"")</f>
        <v/>
      </c>
      <c r="AM20" s="354"/>
      <c r="AN20" s="67"/>
      <c r="AO20" s="308"/>
      <c r="AP20" s="309"/>
      <c r="AQ20" s="309"/>
      <c r="AR20" s="309"/>
      <c r="AS20" s="309"/>
      <c r="AT20" s="31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294"/>
      <c r="C21" s="294"/>
      <c r="D21" s="295"/>
      <c r="E21" s="338"/>
      <c r="F21" s="339"/>
      <c r="G21" s="339"/>
      <c r="H21" s="339"/>
      <c r="I21" s="339"/>
      <c r="J21" s="364"/>
      <c r="K21" s="365"/>
      <c r="L21" s="365"/>
      <c r="M21" s="365"/>
      <c r="N21" s="365"/>
      <c r="O21" s="366"/>
      <c r="P21" s="364"/>
      <c r="Q21" s="365"/>
      <c r="R21" s="365"/>
      <c r="S21" s="365"/>
      <c r="T21" s="365"/>
      <c r="U21" s="366"/>
      <c r="V21" s="349"/>
      <c r="W21" s="350"/>
      <c r="X21" s="350"/>
      <c r="Y21" s="350"/>
      <c r="Z21" s="350"/>
      <c r="AA21" s="351"/>
      <c r="AB21" s="349"/>
      <c r="AC21" s="350"/>
      <c r="AD21" s="350"/>
      <c r="AE21" s="350"/>
      <c r="AF21" s="350"/>
      <c r="AG21" s="351"/>
      <c r="AH21" s="355"/>
      <c r="AI21" s="356"/>
      <c r="AJ21" s="356"/>
      <c r="AK21" s="356"/>
      <c r="AL21" s="356"/>
      <c r="AM21" s="357"/>
      <c r="AN21" s="67"/>
      <c r="AO21" s="311"/>
      <c r="AP21" s="312"/>
      <c r="AQ21" s="312"/>
      <c r="AR21" s="312"/>
      <c r="AS21" s="312"/>
      <c r="AT21" s="313"/>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294"/>
      <c r="C22" s="294"/>
      <c r="D22" s="295"/>
      <c r="E22" s="332" t="s">
        <v>112</v>
      </c>
      <c r="F22" s="333"/>
      <c r="G22" s="333"/>
      <c r="H22" s="333"/>
      <c r="I22" s="334"/>
      <c r="J22" s="367" t="str">
        <f ca="1">IF(AND('Mapa final'!$J$10="Media",'Mapa final'!$N$10="Leve"),CONCATENATE("R",'Mapa final'!$A$10),"")</f>
        <v/>
      </c>
      <c r="K22" s="368"/>
      <c r="L22" s="368" t="str">
        <f ca="1">IF(AND('Mapa final'!$J$12="Media",'Mapa final'!$N$12="Leve"),CONCATENATE("R",'Mapa final'!$A$12),"")</f>
        <v/>
      </c>
      <c r="M22" s="368"/>
      <c r="N22" s="368" t="str">
        <f ca="1">IF(AND('Mapa final'!$J$15="Media",'Mapa final'!$N$15="Leve"),CONCATENATE("R",'Mapa final'!$A$15),"")</f>
        <v/>
      </c>
      <c r="O22" s="369"/>
      <c r="P22" s="367" t="str">
        <f ca="1">IF(AND('Mapa final'!$J$10="Media",'Mapa final'!$N$10="Menor"),CONCATENATE("R",'Mapa final'!$A$10),"")</f>
        <v/>
      </c>
      <c r="Q22" s="368"/>
      <c r="R22" s="368" t="str">
        <f ca="1">IF(AND('Mapa final'!$J$12="Media",'Mapa final'!$N$12="Menor"),CONCATENATE("R",'Mapa final'!$A$12),"")</f>
        <v/>
      </c>
      <c r="S22" s="368"/>
      <c r="T22" s="368" t="str">
        <f ca="1">IF(AND('Mapa final'!$J$15="Media",'Mapa final'!$N$15="Menor"),CONCATENATE("R",'Mapa final'!$A$15),"")</f>
        <v/>
      </c>
      <c r="U22" s="369"/>
      <c r="V22" s="367" t="str">
        <f ca="1">IF(AND('Mapa final'!$J$10="Media",'Mapa final'!$N$10="Moderado"),CONCATENATE("R",'Mapa final'!$A$10),"")</f>
        <v>R1</v>
      </c>
      <c r="W22" s="368"/>
      <c r="X22" s="368" t="str">
        <f ca="1">IF(AND('Mapa final'!$J$12="Media",'Mapa final'!$N$12="Moderado"),CONCATENATE("R",'Mapa final'!$A$12),"")</f>
        <v/>
      </c>
      <c r="Y22" s="368"/>
      <c r="Z22" s="368" t="str">
        <f ca="1">IF(AND('Mapa final'!$J$15="Media",'Mapa final'!$N$15="Moderado"),CONCATENATE("R",'Mapa final'!$A$15),"")</f>
        <v/>
      </c>
      <c r="AA22" s="369"/>
      <c r="AB22" s="343" t="str">
        <f ca="1">IF(AND('Mapa final'!$J$10="Media",'Mapa final'!$N$10="Mayor"),CONCATENATE("R",'Mapa final'!$A$10),"")</f>
        <v/>
      </c>
      <c r="AC22" s="344"/>
      <c r="AD22" s="344" t="str">
        <f ca="1">IF(AND('Mapa final'!$J$12="Media",'Mapa final'!$N$12="Mayor"),CONCATENATE("R",'Mapa final'!$A$12),"")</f>
        <v/>
      </c>
      <c r="AE22" s="344"/>
      <c r="AF22" s="344" t="str">
        <f ca="1">IF(AND('Mapa final'!$J$15="Media",'Mapa final'!$N$15="Mayor"),CONCATENATE("R",'Mapa final'!$A$15),"")</f>
        <v/>
      </c>
      <c r="AG22" s="346"/>
      <c r="AH22" s="358" t="str">
        <f ca="1">IF(AND('Mapa final'!$J$10="Media",'Mapa final'!$N$10="Catastrófico"),CONCATENATE("R",'Mapa final'!$A$10),"")</f>
        <v/>
      </c>
      <c r="AI22" s="359"/>
      <c r="AJ22" s="359" t="str">
        <f ca="1">IF(AND('Mapa final'!$J$12="Media",'Mapa final'!$N$12="Catastrófico"),CONCATENATE("R",'Mapa final'!$A$12),"")</f>
        <v/>
      </c>
      <c r="AK22" s="359"/>
      <c r="AL22" s="359" t="str">
        <f ca="1">IF(AND('Mapa final'!$J$15="Media",'Mapa final'!$N$15="Catastrófico"),CONCATENATE("R",'Mapa final'!$A$15),"")</f>
        <v/>
      </c>
      <c r="AM22" s="360"/>
      <c r="AN22" s="67"/>
      <c r="AO22" s="314" t="s">
        <v>80</v>
      </c>
      <c r="AP22" s="315"/>
      <c r="AQ22" s="315"/>
      <c r="AR22" s="315"/>
      <c r="AS22" s="315"/>
      <c r="AT22" s="31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294"/>
      <c r="C23" s="294"/>
      <c r="D23" s="295"/>
      <c r="E23" s="335"/>
      <c r="F23" s="336"/>
      <c r="G23" s="336"/>
      <c r="H23" s="336"/>
      <c r="I23" s="337"/>
      <c r="J23" s="361"/>
      <c r="K23" s="362"/>
      <c r="L23" s="362"/>
      <c r="M23" s="362"/>
      <c r="N23" s="362"/>
      <c r="O23" s="363"/>
      <c r="P23" s="361"/>
      <c r="Q23" s="362"/>
      <c r="R23" s="362"/>
      <c r="S23" s="362"/>
      <c r="T23" s="362"/>
      <c r="U23" s="363"/>
      <c r="V23" s="361"/>
      <c r="W23" s="362"/>
      <c r="X23" s="362"/>
      <c r="Y23" s="362"/>
      <c r="Z23" s="362"/>
      <c r="AA23" s="363"/>
      <c r="AB23" s="345"/>
      <c r="AC23" s="341"/>
      <c r="AD23" s="341"/>
      <c r="AE23" s="341"/>
      <c r="AF23" s="341"/>
      <c r="AG23" s="342"/>
      <c r="AH23" s="352"/>
      <c r="AI23" s="353"/>
      <c r="AJ23" s="353"/>
      <c r="AK23" s="353"/>
      <c r="AL23" s="353"/>
      <c r="AM23" s="354"/>
      <c r="AN23" s="67"/>
      <c r="AO23" s="317"/>
      <c r="AP23" s="318"/>
      <c r="AQ23" s="318"/>
      <c r="AR23" s="318"/>
      <c r="AS23" s="318"/>
      <c r="AT23" s="31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294"/>
      <c r="C24" s="294"/>
      <c r="D24" s="295"/>
      <c r="E24" s="335"/>
      <c r="F24" s="336"/>
      <c r="G24" s="336"/>
      <c r="H24" s="336"/>
      <c r="I24" s="337"/>
      <c r="J24" s="361" t="str">
        <f ca="1">IF(AND('Mapa final'!$J$21="Media",'Mapa final'!$N$21="Leve"),CONCATENATE("R",'Mapa final'!$A$21),"")</f>
        <v/>
      </c>
      <c r="K24" s="362"/>
      <c r="L24" s="362" t="str">
        <f ca="1">IF(AND('Mapa final'!$J$27="Media",'Mapa final'!$N$27="Leve"),CONCATENATE("R",'Mapa final'!$A$27),"")</f>
        <v/>
      </c>
      <c r="M24" s="362"/>
      <c r="N24" s="362" t="str">
        <f ca="1">IF(AND('Mapa final'!$J$33="Media",'Mapa final'!$N$33="Leve"),CONCATENATE("R",'Mapa final'!$A$33),"")</f>
        <v/>
      </c>
      <c r="O24" s="363"/>
      <c r="P24" s="361" t="str">
        <f ca="1">IF(AND('Mapa final'!$J$21="Media",'Mapa final'!$N$21="Menor"),CONCATENATE("R",'Mapa final'!$A$21),"")</f>
        <v/>
      </c>
      <c r="Q24" s="362"/>
      <c r="R24" s="362" t="str">
        <f ca="1">IF(AND('Mapa final'!$J$27="Media",'Mapa final'!$N$27="Menor"),CONCATENATE("R",'Mapa final'!$A$27),"")</f>
        <v/>
      </c>
      <c r="S24" s="362"/>
      <c r="T24" s="362" t="str">
        <f ca="1">IF(AND('Mapa final'!$J$33="Media",'Mapa final'!$N$33="Menor"),CONCATENATE("R",'Mapa final'!$A$33),"")</f>
        <v/>
      </c>
      <c r="U24" s="363"/>
      <c r="V24" s="361" t="str">
        <f ca="1">IF(AND('Mapa final'!$J$21="Media",'Mapa final'!$N$21="Moderado"),CONCATENATE("R",'Mapa final'!$A$21),"")</f>
        <v/>
      </c>
      <c r="W24" s="362"/>
      <c r="X24" s="362" t="str">
        <f ca="1">IF(AND('Mapa final'!$J$27="Media",'Mapa final'!$N$27="Moderado"),CONCATENATE("R",'Mapa final'!$A$27),"")</f>
        <v/>
      </c>
      <c r="Y24" s="362"/>
      <c r="Z24" s="362" t="str">
        <f ca="1">IF(AND('Mapa final'!$J$33="Media",'Mapa final'!$N$33="Moderado"),CONCATENATE("R",'Mapa final'!$A$33),"")</f>
        <v/>
      </c>
      <c r="AA24" s="363"/>
      <c r="AB24" s="345" t="str">
        <f ca="1">IF(AND('Mapa final'!$J$21="Media",'Mapa final'!$N$21="Mayor"),CONCATENATE("R",'Mapa final'!$A$21),"")</f>
        <v/>
      </c>
      <c r="AC24" s="341"/>
      <c r="AD24" s="341" t="str">
        <f ca="1">IF(AND('Mapa final'!$J$27="Media",'Mapa final'!$N$27="Mayor"),CONCATENATE("R",'Mapa final'!$A$27),"")</f>
        <v/>
      </c>
      <c r="AE24" s="341"/>
      <c r="AF24" s="341" t="str">
        <f ca="1">IF(AND('Mapa final'!$J$33="Media",'Mapa final'!$N$33="Mayor"),CONCATENATE("R",'Mapa final'!$A$33),"")</f>
        <v/>
      </c>
      <c r="AG24" s="342"/>
      <c r="AH24" s="352" t="str">
        <f ca="1">IF(AND('Mapa final'!$J$21="Media",'Mapa final'!$N$21="Catastrófico"),CONCATENATE("R",'Mapa final'!$A$21),"")</f>
        <v/>
      </c>
      <c r="AI24" s="353"/>
      <c r="AJ24" s="353" t="str">
        <f ca="1">IF(AND('Mapa final'!$J$27="Media",'Mapa final'!$N$27="Catastrófico"),CONCATENATE("R",'Mapa final'!$A$27),"")</f>
        <v/>
      </c>
      <c r="AK24" s="353"/>
      <c r="AL24" s="353" t="str">
        <f ca="1">IF(AND('Mapa final'!$J$33="Media",'Mapa final'!$N$33="Catastrófico"),CONCATENATE("R",'Mapa final'!$A$33),"")</f>
        <v/>
      </c>
      <c r="AM24" s="354"/>
      <c r="AN24" s="67"/>
      <c r="AO24" s="317"/>
      <c r="AP24" s="318"/>
      <c r="AQ24" s="318"/>
      <c r="AR24" s="318"/>
      <c r="AS24" s="318"/>
      <c r="AT24" s="31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294"/>
      <c r="C25" s="294"/>
      <c r="D25" s="295"/>
      <c r="E25" s="335"/>
      <c r="F25" s="336"/>
      <c r="G25" s="336"/>
      <c r="H25" s="336"/>
      <c r="I25" s="337"/>
      <c r="J25" s="361"/>
      <c r="K25" s="362"/>
      <c r="L25" s="362"/>
      <c r="M25" s="362"/>
      <c r="N25" s="362"/>
      <c r="O25" s="363"/>
      <c r="P25" s="361"/>
      <c r="Q25" s="362"/>
      <c r="R25" s="362"/>
      <c r="S25" s="362"/>
      <c r="T25" s="362"/>
      <c r="U25" s="363"/>
      <c r="V25" s="361"/>
      <c r="W25" s="362"/>
      <c r="X25" s="362"/>
      <c r="Y25" s="362"/>
      <c r="Z25" s="362"/>
      <c r="AA25" s="363"/>
      <c r="AB25" s="345"/>
      <c r="AC25" s="341"/>
      <c r="AD25" s="341"/>
      <c r="AE25" s="341"/>
      <c r="AF25" s="341"/>
      <c r="AG25" s="342"/>
      <c r="AH25" s="352"/>
      <c r="AI25" s="353"/>
      <c r="AJ25" s="353"/>
      <c r="AK25" s="353"/>
      <c r="AL25" s="353"/>
      <c r="AM25" s="354"/>
      <c r="AN25" s="67"/>
      <c r="AO25" s="317"/>
      <c r="AP25" s="318"/>
      <c r="AQ25" s="318"/>
      <c r="AR25" s="318"/>
      <c r="AS25" s="318"/>
      <c r="AT25" s="31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294"/>
      <c r="C26" s="294"/>
      <c r="D26" s="295"/>
      <c r="E26" s="335"/>
      <c r="F26" s="336"/>
      <c r="G26" s="336"/>
      <c r="H26" s="336"/>
      <c r="I26" s="337"/>
      <c r="J26" s="361" t="str">
        <f ca="1">IF(AND('Mapa final'!$J$39="Media",'Mapa final'!$N$39="Leve"),CONCATENATE("R",'Mapa final'!$A$39),"")</f>
        <v/>
      </c>
      <c r="K26" s="362"/>
      <c r="L26" s="362" t="str">
        <f ca="1">IF(AND('Mapa final'!$J$45="Media",'Mapa final'!$N$45="Leve"),CONCATENATE("R",'Mapa final'!$A$45),"")</f>
        <v/>
      </c>
      <c r="M26" s="362"/>
      <c r="N26" s="362" t="str">
        <f ca="1">IF(AND('Mapa final'!$J$51="Media",'Mapa final'!$N$51="Leve"),CONCATENATE("R",'Mapa final'!$A$51),"")</f>
        <v/>
      </c>
      <c r="O26" s="363"/>
      <c r="P26" s="361" t="str">
        <f ca="1">IF(AND('Mapa final'!$J$39="Media",'Mapa final'!$N$39="Menor"),CONCATENATE("R",'Mapa final'!$A$39),"")</f>
        <v/>
      </c>
      <c r="Q26" s="362"/>
      <c r="R26" s="362" t="str">
        <f ca="1">IF(AND('Mapa final'!$J$45="Media",'Mapa final'!$N$45="Menor"),CONCATENATE("R",'Mapa final'!$A$45),"")</f>
        <v/>
      </c>
      <c r="S26" s="362"/>
      <c r="T26" s="362" t="str">
        <f ca="1">IF(AND('Mapa final'!$J$51="Media",'Mapa final'!$N$51="Menor"),CONCATENATE("R",'Mapa final'!$A$51),"")</f>
        <v/>
      </c>
      <c r="U26" s="363"/>
      <c r="V26" s="361" t="str">
        <f ca="1">IF(AND('Mapa final'!$J$39="Media",'Mapa final'!$N$39="Moderado"),CONCATENATE("R",'Mapa final'!$A$39),"")</f>
        <v/>
      </c>
      <c r="W26" s="362"/>
      <c r="X26" s="362" t="str">
        <f ca="1">IF(AND('Mapa final'!$J$45="Media",'Mapa final'!$N$45="Moderado"),CONCATENATE("R",'Mapa final'!$A$45),"")</f>
        <v/>
      </c>
      <c r="Y26" s="362"/>
      <c r="Z26" s="362" t="str">
        <f ca="1">IF(AND('Mapa final'!$J$51="Media",'Mapa final'!$N$51="Moderado"),CONCATENATE("R",'Mapa final'!$A$51),"")</f>
        <v/>
      </c>
      <c r="AA26" s="363"/>
      <c r="AB26" s="345" t="str">
        <f ca="1">IF(AND('Mapa final'!$J$39="Media",'Mapa final'!$N$39="Mayor"),CONCATENATE("R",'Mapa final'!$A$39),"")</f>
        <v/>
      </c>
      <c r="AC26" s="341"/>
      <c r="AD26" s="341" t="str">
        <f ca="1">IF(AND('Mapa final'!$J$45="Media",'Mapa final'!$N$45="Mayor"),CONCATENATE("R",'Mapa final'!$A$45),"")</f>
        <v/>
      </c>
      <c r="AE26" s="341"/>
      <c r="AF26" s="341" t="str">
        <f ca="1">IF(AND('Mapa final'!$J$51="Media",'Mapa final'!$N$51="Mayor"),CONCATENATE("R",'Mapa final'!$A$51),"")</f>
        <v/>
      </c>
      <c r="AG26" s="342"/>
      <c r="AH26" s="352" t="str">
        <f ca="1">IF(AND('Mapa final'!$J$39="Media",'Mapa final'!$N$39="Catastrófico"),CONCATENATE("R",'Mapa final'!$A$39),"")</f>
        <v/>
      </c>
      <c r="AI26" s="353"/>
      <c r="AJ26" s="353" t="str">
        <f ca="1">IF(AND('Mapa final'!$J$45="Media",'Mapa final'!$N$45="Catastrófico"),CONCATENATE("R",'Mapa final'!$A$45),"")</f>
        <v/>
      </c>
      <c r="AK26" s="353"/>
      <c r="AL26" s="353" t="str">
        <f ca="1">IF(AND('Mapa final'!$J$51="Media",'Mapa final'!$N$51="Catastrófico"),CONCATENATE("R",'Mapa final'!$A$51),"")</f>
        <v/>
      </c>
      <c r="AM26" s="354"/>
      <c r="AN26" s="67"/>
      <c r="AO26" s="317"/>
      <c r="AP26" s="318"/>
      <c r="AQ26" s="318"/>
      <c r="AR26" s="318"/>
      <c r="AS26" s="318"/>
      <c r="AT26" s="31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294"/>
      <c r="C27" s="294"/>
      <c r="D27" s="295"/>
      <c r="E27" s="335"/>
      <c r="F27" s="336"/>
      <c r="G27" s="336"/>
      <c r="H27" s="336"/>
      <c r="I27" s="337"/>
      <c r="J27" s="361"/>
      <c r="K27" s="362"/>
      <c r="L27" s="362"/>
      <c r="M27" s="362"/>
      <c r="N27" s="362"/>
      <c r="O27" s="363"/>
      <c r="P27" s="361"/>
      <c r="Q27" s="362"/>
      <c r="R27" s="362"/>
      <c r="S27" s="362"/>
      <c r="T27" s="362"/>
      <c r="U27" s="363"/>
      <c r="V27" s="361"/>
      <c r="W27" s="362"/>
      <c r="X27" s="362"/>
      <c r="Y27" s="362"/>
      <c r="Z27" s="362"/>
      <c r="AA27" s="363"/>
      <c r="AB27" s="345"/>
      <c r="AC27" s="341"/>
      <c r="AD27" s="341"/>
      <c r="AE27" s="341"/>
      <c r="AF27" s="341"/>
      <c r="AG27" s="342"/>
      <c r="AH27" s="352"/>
      <c r="AI27" s="353"/>
      <c r="AJ27" s="353"/>
      <c r="AK27" s="353"/>
      <c r="AL27" s="353"/>
      <c r="AM27" s="354"/>
      <c r="AN27" s="67"/>
      <c r="AO27" s="317"/>
      <c r="AP27" s="318"/>
      <c r="AQ27" s="318"/>
      <c r="AR27" s="318"/>
      <c r="AS27" s="318"/>
      <c r="AT27" s="31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294"/>
      <c r="C28" s="294"/>
      <c r="D28" s="295"/>
      <c r="E28" s="335"/>
      <c r="F28" s="336"/>
      <c r="G28" s="336"/>
      <c r="H28" s="336"/>
      <c r="I28" s="337"/>
      <c r="J28" s="361" t="str">
        <f ca="1">IF(AND('Mapa final'!$J$57="Media",'Mapa final'!$N$57="Leve"),CONCATENATE("R",'Mapa final'!$A$57),"")</f>
        <v/>
      </c>
      <c r="K28" s="362"/>
      <c r="L28" s="362" t="str">
        <f>IF(AND('Mapa final'!$J$63="Media",'Mapa final'!$N$63="Leve"),CONCATENATE("R",'Mapa final'!$A$63),"")</f>
        <v/>
      </c>
      <c r="M28" s="362"/>
      <c r="N28" s="362" t="str">
        <f>IF(AND('Mapa final'!$J$69="Media",'Mapa final'!$N$69="Leve"),CONCATENATE("R",'Mapa final'!$A$69),"")</f>
        <v/>
      </c>
      <c r="O28" s="363"/>
      <c r="P28" s="361" t="str">
        <f ca="1">IF(AND('Mapa final'!$J$57="Media",'Mapa final'!$N$57="Menor"),CONCATENATE("R",'Mapa final'!$A$57),"")</f>
        <v/>
      </c>
      <c r="Q28" s="362"/>
      <c r="R28" s="362" t="str">
        <f>IF(AND('Mapa final'!$J$63="Media",'Mapa final'!$N$63="Menor"),CONCATENATE("R",'Mapa final'!$A$63),"")</f>
        <v/>
      </c>
      <c r="S28" s="362"/>
      <c r="T28" s="362" t="str">
        <f>IF(AND('Mapa final'!$J$69="Media",'Mapa final'!$N$69="Menor"),CONCATENATE("R",'Mapa final'!$A$69),"")</f>
        <v/>
      </c>
      <c r="U28" s="363"/>
      <c r="V28" s="361" t="str">
        <f ca="1">IF(AND('Mapa final'!$J$57="Media",'Mapa final'!$N$57="Moderado"),CONCATENATE("R",'Mapa final'!$A$57),"")</f>
        <v/>
      </c>
      <c r="W28" s="362"/>
      <c r="X28" s="362" t="str">
        <f>IF(AND('Mapa final'!$J$63="Media",'Mapa final'!$N$63="Moderado"),CONCATENATE("R",'Mapa final'!$A$63),"")</f>
        <v/>
      </c>
      <c r="Y28" s="362"/>
      <c r="Z28" s="362" t="str">
        <f>IF(AND('Mapa final'!$J$69="Media",'Mapa final'!$N$69="Moderado"),CONCATENATE("R",'Mapa final'!$A$69),"")</f>
        <v/>
      </c>
      <c r="AA28" s="363"/>
      <c r="AB28" s="345" t="str">
        <f ca="1">IF(AND('Mapa final'!$J$57="Media",'Mapa final'!$N$57="Mayor"),CONCATENATE("R",'Mapa final'!$A$57),"")</f>
        <v/>
      </c>
      <c r="AC28" s="341"/>
      <c r="AD28" s="341" t="str">
        <f>IF(AND('Mapa final'!$J$63="Media",'Mapa final'!$N$63="Mayor"),CONCATENATE("R",'Mapa final'!$A$63),"")</f>
        <v/>
      </c>
      <c r="AE28" s="341"/>
      <c r="AF28" s="341" t="str">
        <f>IF(AND('Mapa final'!$J$69="Media",'Mapa final'!$N$69="Mayor"),CONCATENATE("R",'Mapa final'!$A$69),"")</f>
        <v/>
      </c>
      <c r="AG28" s="342"/>
      <c r="AH28" s="352" t="str">
        <f ca="1">IF(AND('Mapa final'!$J$57="Media",'Mapa final'!$N$57="Catastrófico"),CONCATENATE("R",'Mapa final'!$A$57),"")</f>
        <v/>
      </c>
      <c r="AI28" s="353"/>
      <c r="AJ28" s="353" t="str">
        <f>IF(AND('Mapa final'!$J$63="Media",'Mapa final'!$N$63="Catastrófico"),CONCATENATE("R",'Mapa final'!$A$63),"")</f>
        <v/>
      </c>
      <c r="AK28" s="353"/>
      <c r="AL28" s="353" t="str">
        <f>IF(AND('Mapa final'!$J$69="Media",'Mapa final'!$N$69="Catastrófico"),CONCATENATE("R",'Mapa final'!$A$69),"")</f>
        <v/>
      </c>
      <c r="AM28" s="354"/>
      <c r="AN28" s="67"/>
      <c r="AO28" s="317"/>
      <c r="AP28" s="318"/>
      <c r="AQ28" s="318"/>
      <c r="AR28" s="318"/>
      <c r="AS28" s="318"/>
      <c r="AT28" s="31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294"/>
      <c r="C29" s="294"/>
      <c r="D29" s="295"/>
      <c r="E29" s="338"/>
      <c r="F29" s="339"/>
      <c r="G29" s="339"/>
      <c r="H29" s="339"/>
      <c r="I29" s="340"/>
      <c r="J29" s="361"/>
      <c r="K29" s="362"/>
      <c r="L29" s="362"/>
      <c r="M29" s="362"/>
      <c r="N29" s="362"/>
      <c r="O29" s="363"/>
      <c r="P29" s="364"/>
      <c r="Q29" s="365"/>
      <c r="R29" s="365"/>
      <c r="S29" s="365"/>
      <c r="T29" s="365"/>
      <c r="U29" s="366"/>
      <c r="V29" s="364"/>
      <c r="W29" s="365"/>
      <c r="X29" s="365"/>
      <c r="Y29" s="365"/>
      <c r="Z29" s="365"/>
      <c r="AA29" s="366"/>
      <c r="AB29" s="349"/>
      <c r="AC29" s="350"/>
      <c r="AD29" s="350"/>
      <c r="AE29" s="350"/>
      <c r="AF29" s="350"/>
      <c r="AG29" s="351"/>
      <c r="AH29" s="355"/>
      <c r="AI29" s="356"/>
      <c r="AJ29" s="356"/>
      <c r="AK29" s="356"/>
      <c r="AL29" s="356"/>
      <c r="AM29" s="357"/>
      <c r="AN29" s="67"/>
      <c r="AO29" s="320"/>
      <c r="AP29" s="321"/>
      <c r="AQ29" s="321"/>
      <c r="AR29" s="321"/>
      <c r="AS29" s="321"/>
      <c r="AT29" s="32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294"/>
      <c r="C30" s="294"/>
      <c r="D30" s="295"/>
      <c r="E30" s="332" t="s">
        <v>109</v>
      </c>
      <c r="F30" s="333"/>
      <c r="G30" s="333"/>
      <c r="H30" s="333"/>
      <c r="I30" s="333"/>
      <c r="J30" s="376" t="str">
        <f ca="1">IF(AND('Mapa final'!$J$10="Baja",'Mapa final'!$N$10="Leve"),CONCATENATE("R",'Mapa final'!$A$10),"")</f>
        <v/>
      </c>
      <c r="K30" s="377"/>
      <c r="L30" s="377" t="str">
        <f ca="1">IF(AND('Mapa final'!$J$12="Baja",'Mapa final'!$N$12="Leve"),CONCATENATE("R",'Mapa final'!$A$12),"")</f>
        <v/>
      </c>
      <c r="M30" s="377"/>
      <c r="N30" s="377" t="str">
        <f ca="1">IF(AND('Mapa final'!$J$15="Baja",'Mapa final'!$N$15="Leve"),CONCATENATE("R",'Mapa final'!$A$15),"")</f>
        <v/>
      </c>
      <c r="O30" s="378"/>
      <c r="P30" s="368" t="str">
        <f ca="1">IF(AND('Mapa final'!$J$10="Baja",'Mapa final'!$N$10="Menor"),CONCATENATE("R",'Mapa final'!$A$10),"")</f>
        <v/>
      </c>
      <c r="Q30" s="368"/>
      <c r="R30" s="368" t="str">
        <f ca="1">IF(AND('Mapa final'!$J$12="Baja",'Mapa final'!$N$12="Menor"),CONCATENATE("R",'Mapa final'!$A$12),"")</f>
        <v/>
      </c>
      <c r="S30" s="368"/>
      <c r="T30" s="368" t="str">
        <f ca="1">IF(AND('Mapa final'!$J$15="Baja",'Mapa final'!$N$15="Menor"),CONCATENATE("R",'Mapa final'!$A$15),"")</f>
        <v/>
      </c>
      <c r="U30" s="369"/>
      <c r="V30" s="367" t="str">
        <f ca="1">IF(AND('Mapa final'!$J$10="Baja",'Mapa final'!$N$10="Moderado"),CONCATENATE("R",'Mapa final'!$A$10),"")</f>
        <v/>
      </c>
      <c r="W30" s="368"/>
      <c r="X30" s="368" t="str">
        <f ca="1">IF(AND('Mapa final'!$J$12="Baja",'Mapa final'!$N$12="Moderado"),CONCATENATE("R",'Mapa final'!$A$12),"")</f>
        <v/>
      </c>
      <c r="Y30" s="368"/>
      <c r="Z30" s="368" t="str">
        <f ca="1">IF(AND('Mapa final'!$J$15="Baja",'Mapa final'!$N$15="Moderado"),CONCATENATE("R",'Mapa final'!$A$15),"")</f>
        <v/>
      </c>
      <c r="AA30" s="369"/>
      <c r="AB30" s="343" t="str">
        <f ca="1">IF(AND('Mapa final'!$J$10="Baja",'Mapa final'!$N$10="Mayor"),CONCATENATE("R",'Mapa final'!$A$10),"")</f>
        <v/>
      </c>
      <c r="AC30" s="344"/>
      <c r="AD30" s="344" t="str">
        <f ca="1">IF(AND('Mapa final'!$J$12="Baja",'Mapa final'!$N$12="Mayor"),CONCATENATE("R",'Mapa final'!$A$12),"")</f>
        <v/>
      </c>
      <c r="AE30" s="344"/>
      <c r="AF30" s="344" t="str">
        <f ca="1">IF(AND('Mapa final'!$J$15="Baja",'Mapa final'!$N$15="Mayor"),CONCATENATE("R",'Mapa final'!$A$15),"")</f>
        <v/>
      </c>
      <c r="AG30" s="346"/>
      <c r="AH30" s="358" t="str">
        <f ca="1">IF(AND('Mapa final'!$J$10="Baja",'Mapa final'!$N$10="Catastrófico"),CONCATENATE("R",'Mapa final'!$A$10),"")</f>
        <v/>
      </c>
      <c r="AI30" s="359"/>
      <c r="AJ30" s="359" t="str">
        <f ca="1">IF(AND('Mapa final'!$J$12="Baja",'Mapa final'!$N$12="Catastrófico"),CONCATENATE("R",'Mapa final'!$A$12),"")</f>
        <v/>
      </c>
      <c r="AK30" s="359"/>
      <c r="AL30" s="359" t="str">
        <f ca="1">IF(AND('Mapa final'!$J$15="Baja",'Mapa final'!$N$15="Catastrófico"),CONCATENATE("R",'Mapa final'!$A$15),"")</f>
        <v/>
      </c>
      <c r="AM30" s="360"/>
      <c r="AN30" s="67"/>
      <c r="AO30" s="323" t="s">
        <v>81</v>
      </c>
      <c r="AP30" s="324"/>
      <c r="AQ30" s="324"/>
      <c r="AR30" s="324"/>
      <c r="AS30" s="324"/>
      <c r="AT30" s="32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294"/>
      <c r="C31" s="294"/>
      <c r="D31" s="295"/>
      <c r="E31" s="335"/>
      <c r="F31" s="336"/>
      <c r="G31" s="336"/>
      <c r="H31" s="336"/>
      <c r="I31" s="336"/>
      <c r="J31" s="372"/>
      <c r="K31" s="370"/>
      <c r="L31" s="370"/>
      <c r="M31" s="370"/>
      <c r="N31" s="370"/>
      <c r="O31" s="371"/>
      <c r="P31" s="362"/>
      <c r="Q31" s="362"/>
      <c r="R31" s="362"/>
      <c r="S31" s="362"/>
      <c r="T31" s="362"/>
      <c r="U31" s="363"/>
      <c r="V31" s="361"/>
      <c r="W31" s="362"/>
      <c r="X31" s="362"/>
      <c r="Y31" s="362"/>
      <c r="Z31" s="362"/>
      <c r="AA31" s="363"/>
      <c r="AB31" s="345"/>
      <c r="AC31" s="341"/>
      <c r="AD31" s="341"/>
      <c r="AE31" s="341"/>
      <c r="AF31" s="341"/>
      <c r="AG31" s="342"/>
      <c r="AH31" s="352"/>
      <c r="AI31" s="353"/>
      <c r="AJ31" s="353"/>
      <c r="AK31" s="353"/>
      <c r="AL31" s="353"/>
      <c r="AM31" s="354"/>
      <c r="AN31" s="67"/>
      <c r="AO31" s="326"/>
      <c r="AP31" s="327"/>
      <c r="AQ31" s="327"/>
      <c r="AR31" s="327"/>
      <c r="AS31" s="327"/>
      <c r="AT31" s="32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294"/>
      <c r="C32" s="294"/>
      <c r="D32" s="295"/>
      <c r="E32" s="335"/>
      <c r="F32" s="336"/>
      <c r="G32" s="336"/>
      <c r="H32" s="336"/>
      <c r="I32" s="336"/>
      <c r="J32" s="372" t="str">
        <f ca="1">IF(AND('Mapa final'!$J$21="Baja",'Mapa final'!$N$21="Leve"),CONCATENATE("R",'Mapa final'!$A$21),"")</f>
        <v/>
      </c>
      <c r="K32" s="370"/>
      <c r="L32" s="370" t="str">
        <f ca="1">IF(AND('Mapa final'!$J$27="Baja",'Mapa final'!$N$27="Leve"),CONCATENATE("R",'Mapa final'!$A$27),"")</f>
        <v/>
      </c>
      <c r="M32" s="370"/>
      <c r="N32" s="370" t="str">
        <f ca="1">IF(AND('Mapa final'!$J$33="Baja",'Mapa final'!$N$33="Leve"),CONCATENATE("R",'Mapa final'!$A$33),"")</f>
        <v/>
      </c>
      <c r="O32" s="371"/>
      <c r="P32" s="362" t="str">
        <f ca="1">IF(AND('Mapa final'!$J$21="Baja",'Mapa final'!$N$21="Menor"),CONCATENATE("R",'Mapa final'!$A$21),"")</f>
        <v/>
      </c>
      <c r="Q32" s="362"/>
      <c r="R32" s="362" t="str">
        <f ca="1">IF(AND('Mapa final'!$J$27="Baja",'Mapa final'!$N$27="Menor"),CONCATENATE("R",'Mapa final'!$A$27),"")</f>
        <v/>
      </c>
      <c r="S32" s="362"/>
      <c r="T32" s="362" t="str">
        <f ca="1">IF(AND('Mapa final'!$J$33="Baja",'Mapa final'!$N$33="Menor"),CONCATENATE("R",'Mapa final'!$A$33),"")</f>
        <v/>
      </c>
      <c r="U32" s="363"/>
      <c r="V32" s="361" t="str">
        <f ca="1">IF(AND('Mapa final'!$J$21="Baja",'Mapa final'!$N$21="Moderado"),CONCATENATE("R",'Mapa final'!$A$21),"")</f>
        <v/>
      </c>
      <c r="W32" s="362"/>
      <c r="X32" s="362" t="str">
        <f ca="1">IF(AND('Mapa final'!$J$27="Baja",'Mapa final'!$N$27="Moderado"),CONCATENATE("R",'Mapa final'!$A$27),"")</f>
        <v/>
      </c>
      <c r="Y32" s="362"/>
      <c r="Z32" s="362" t="str">
        <f ca="1">IF(AND('Mapa final'!$J$33="Baja",'Mapa final'!$N$33="Moderado"),CONCATENATE("R",'Mapa final'!$A$33),"")</f>
        <v/>
      </c>
      <c r="AA32" s="363"/>
      <c r="AB32" s="345" t="str">
        <f ca="1">IF(AND('Mapa final'!$J$21="Baja",'Mapa final'!$N$21="Mayor"),CONCATENATE("R",'Mapa final'!$A$21),"")</f>
        <v/>
      </c>
      <c r="AC32" s="341"/>
      <c r="AD32" s="341" t="str">
        <f ca="1">IF(AND('Mapa final'!$J$27="Baja",'Mapa final'!$N$27="Mayor"),CONCATENATE("R",'Mapa final'!$A$27),"")</f>
        <v/>
      </c>
      <c r="AE32" s="341"/>
      <c r="AF32" s="341" t="str">
        <f ca="1">IF(AND('Mapa final'!$J$33="Baja",'Mapa final'!$N$33="Mayor"),CONCATENATE("R",'Mapa final'!$A$33),"")</f>
        <v/>
      </c>
      <c r="AG32" s="342"/>
      <c r="AH32" s="352" t="str">
        <f ca="1">IF(AND('Mapa final'!$J$21="Baja",'Mapa final'!$N$21="Catastrófico"),CONCATENATE("R",'Mapa final'!$A$21),"")</f>
        <v/>
      </c>
      <c r="AI32" s="353"/>
      <c r="AJ32" s="353" t="str">
        <f ca="1">IF(AND('Mapa final'!$J$27="Baja",'Mapa final'!$N$27="Catastrófico"),CONCATENATE("R",'Mapa final'!$A$27),"")</f>
        <v/>
      </c>
      <c r="AK32" s="353"/>
      <c r="AL32" s="353" t="str">
        <f ca="1">IF(AND('Mapa final'!$J$33="Baja",'Mapa final'!$N$33="Catastrófico"),CONCATENATE("R",'Mapa final'!$A$33),"")</f>
        <v/>
      </c>
      <c r="AM32" s="354"/>
      <c r="AN32" s="67"/>
      <c r="AO32" s="326"/>
      <c r="AP32" s="327"/>
      <c r="AQ32" s="327"/>
      <c r="AR32" s="327"/>
      <c r="AS32" s="327"/>
      <c r="AT32" s="32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294"/>
      <c r="C33" s="294"/>
      <c r="D33" s="295"/>
      <c r="E33" s="335"/>
      <c r="F33" s="336"/>
      <c r="G33" s="336"/>
      <c r="H33" s="336"/>
      <c r="I33" s="336"/>
      <c r="J33" s="372"/>
      <c r="K33" s="370"/>
      <c r="L33" s="370"/>
      <c r="M33" s="370"/>
      <c r="N33" s="370"/>
      <c r="O33" s="371"/>
      <c r="P33" s="362"/>
      <c r="Q33" s="362"/>
      <c r="R33" s="362"/>
      <c r="S33" s="362"/>
      <c r="T33" s="362"/>
      <c r="U33" s="363"/>
      <c r="V33" s="361"/>
      <c r="W33" s="362"/>
      <c r="X33" s="362"/>
      <c r="Y33" s="362"/>
      <c r="Z33" s="362"/>
      <c r="AA33" s="363"/>
      <c r="AB33" s="345"/>
      <c r="AC33" s="341"/>
      <c r="AD33" s="341"/>
      <c r="AE33" s="341"/>
      <c r="AF33" s="341"/>
      <c r="AG33" s="342"/>
      <c r="AH33" s="352"/>
      <c r="AI33" s="353"/>
      <c r="AJ33" s="353"/>
      <c r="AK33" s="353"/>
      <c r="AL33" s="353"/>
      <c r="AM33" s="354"/>
      <c r="AN33" s="67"/>
      <c r="AO33" s="326"/>
      <c r="AP33" s="327"/>
      <c r="AQ33" s="327"/>
      <c r="AR33" s="327"/>
      <c r="AS33" s="327"/>
      <c r="AT33" s="32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294"/>
      <c r="C34" s="294"/>
      <c r="D34" s="295"/>
      <c r="E34" s="335"/>
      <c r="F34" s="336"/>
      <c r="G34" s="336"/>
      <c r="H34" s="336"/>
      <c r="I34" s="336"/>
      <c r="J34" s="372" t="str">
        <f ca="1">IF(AND('Mapa final'!$J$39="Baja",'Mapa final'!$N$39="Leve"),CONCATENATE("R",'Mapa final'!$A$39),"")</f>
        <v/>
      </c>
      <c r="K34" s="370"/>
      <c r="L34" s="370" t="str">
        <f ca="1">IF(AND('Mapa final'!$J$45="Baja",'Mapa final'!$N$45="Leve"),CONCATENATE("R",'Mapa final'!$A$45),"")</f>
        <v/>
      </c>
      <c r="M34" s="370"/>
      <c r="N34" s="370" t="str">
        <f ca="1">IF(AND('Mapa final'!$J$51="Baja",'Mapa final'!$N$51="Leve"),CONCATENATE("R",'Mapa final'!$A$51),"")</f>
        <v/>
      </c>
      <c r="O34" s="371"/>
      <c r="P34" s="362" t="str">
        <f ca="1">IF(AND('Mapa final'!$J$39="Baja",'Mapa final'!$N$39="Menor"),CONCATENATE("R",'Mapa final'!$A$39),"")</f>
        <v/>
      </c>
      <c r="Q34" s="362"/>
      <c r="R34" s="362" t="str">
        <f ca="1">IF(AND('Mapa final'!$J$45="Baja",'Mapa final'!$N$45="Menor"),CONCATENATE("R",'Mapa final'!$A$45),"")</f>
        <v/>
      </c>
      <c r="S34" s="362"/>
      <c r="T34" s="362" t="str">
        <f ca="1">IF(AND('Mapa final'!$J$51="Baja",'Mapa final'!$N$51="Menor"),CONCATENATE("R",'Mapa final'!$A$51),"")</f>
        <v/>
      </c>
      <c r="U34" s="363"/>
      <c r="V34" s="361" t="str">
        <f ca="1">IF(AND('Mapa final'!$J$39="Baja",'Mapa final'!$N$39="Moderado"),CONCATENATE("R",'Mapa final'!$A$39),"")</f>
        <v/>
      </c>
      <c r="W34" s="362"/>
      <c r="X34" s="362" t="str">
        <f ca="1">IF(AND('Mapa final'!$J$45="Baja",'Mapa final'!$N$45="Moderado"),CONCATENATE("R",'Mapa final'!$A$45),"")</f>
        <v/>
      </c>
      <c r="Y34" s="362"/>
      <c r="Z34" s="362" t="str">
        <f ca="1">IF(AND('Mapa final'!$J$51="Baja",'Mapa final'!$N$51="Moderado"),CONCATENATE("R",'Mapa final'!$A$51),"")</f>
        <v/>
      </c>
      <c r="AA34" s="363"/>
      <c r="AB34" s="345" t="str">
        <f ca="1">IF(AND('Mapa final'!$J$39="Baja",'Mapa final'!$N$39="Mayor"),CONCATENATE("R",'Mapa final'!$A$39),"")</f>
        <v/>
      </c>
      <c r="AC34" s="341"/>
      <c r="AD34" s="341" t="str">
        <f ca="1">IF(AND('Mapa final'!$J$45="Baja",'Mapa final'!$N$45="Mayor"),CONCATENATE("R",'Mapa final'!$A$45),"")</f>
        <v/>
      </c>
      <c r="AE34" s="341"/>
      <c r="AF34" s="341" t="str">
        <f ca="1">IF(AND('Mapa final'!$J$51="Baja",'Mapa final'!$N$51="Mayor"),CONCATENATE("R",'Mapa final'!$A$51),"")</f>
        <v/>
      </c>
      <c r="AG34" s="342"/>
      <c r="AH34" s="352" t="str">
        <f ca="1">IF(AND('Mapa final'!$J$39="Baja",'Mapa final'!$N$39="Catastrófico"),CONCATENATE("R",'Mapa final'!$A$39),"")</f>
        <v/>
      </c>
      <c r="AI34" s="353"/>
      <c r="AJ34" s="353" t="str">
        <f ca="1">IF(AND('Mapa final'!$J$45="Baja",'Mapa final'!$N$45="Catastrófico"),CONCATENATE("R",'Mapa final'!$A$45),"")</f>
        <v/>
      </c>
      <c r="AK34" s="353"/>
      <c r="AL34" s="353" t="str">
        <f ca="1">IF(AND('Mapa final'!$J$51="Baja",'Mapa final'!$N$51="Catastrófico"),CONCATENATE("R",'Mapa final'!$A$51),"")</f>
        <v/>
      </c>
      <c r="AM34" s="354"/>
      <c r="AN34" s="67"/>
      <c r="AO34" s="326"/>
      <c r="AP34" s="327"/>
      <c r="AQ34" s="327"/>
      <c r="AR34" s="327"/>
      <c r="AS34" s="327"/>
      <c r="AT34" s="32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294"/>
      <c r="C35" s="294"/>
      <c r="D35" s="295"/>
      <c r="E35" s="335"/>
      <c r="F35" s="336"/>
      <c r="G35" s="336"/>
      <c r="H35" s="336"/>
      <c r="I35" s="336"/>
      <c r="J35" s="372"/>
      <c r="K35" s="370"/>
      <c r="L35" s="370"/>
      <c r="M35" s="370"/>
      <c r="N35" s="370"/>
      <c r="O35" s="371"/>
      <c r="P35" s="362"/>
      <c r="Q35" s="362"/>
      <c r="R35" s="362"/>
      <c r="S35" s="362"/>
      <c r="T35" s="362"/>
      <c r="U35" s="363"/>
      <c r="V35" s="361"/>
      <c r="W35" s="362"/>
      <c r="X35" s="362"/>
      <c r="Y35" s="362"/>
      <c r="Z35" s="362"/>
      <c r="AA35" s="363"/>
      <c r="AB35" s="345"/>
      <c r="AC35" s="341"/>
      <c r="AD35" s="341"/>
      <c r="AE35" s="341"/>
      <c r="AF35" s="341"/>
      <c r="AG35" s="342"/>
      <c r="AH35" s="352"/>
      <c r="AI35" s="353"/>
      <c r="AJ35" s="353"/>
      <c r="AK35" s="353"/>
      <c r="AL35" s="353"/>
      <c r="AM35" s="354"/>
      <c r="AN35" s="67"/>
      <c r="AO35" s="326"/>
      <c r="AP35" s="327"/>
      <c r="AQ35" s="327"/>
      <c r="AR35" s="327"/>
      <c r="AS35" s="327"/>
      <c r="AT35" s="32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294"/>
      <c r="C36" s="294"/>
      <c r="D36" s="295"/>
      <c r="E36" s="335"/>
      <c r="F36" s="336"/>
      <c r="G36" s="336"/>
      <c r="H36" s="336"/>
      <c r="I36" s="336"/>
      <c r="J36" s="372" t="str">
        <f ca="1">IF(AND('Mapa final'!$J$57="Baja",'Mapa final'!$N$57="Leve"),CONCATENATE("R",'Mapa final'!$A$57),"")</f>
        <v/>
      </c>
      <c r="K36" s="370"/>
      <c r="L36" s="370" t="str">
        <f>IF(AND('Mapa final'!$J$63="Baja",'Mapa final'!$N$63="Leve"),CONCATENATE("R",'Mapa final'!$A$63),"")</f>
        <v/>
      </c>
      <c r="M36" s="370"/>
      <c r="N36" s="370" t="str">
        <f>IF(AND('Mapa final'!$J$69="Baja",'Mapa final'!$N$69="Leve"),CONCATENATE("R",'Mapa final'!$A$69),"")</f>
        <v/>
      </c>
      <c r="O36" s="371"/>
      <c r="P36" s="362" t="str">
        <f ca="1">IF(AND('Mapa final'!$J$57="Baja",'Mapa final'!$N$57="Menor"),CONCATENATE("R",'Mapa final'!$A$57),"")</f>
        <v/>
      </c>
      <c r="Q36" s="362"/>
      <c r="R36" s="362" t="str">
        <f>IF(AND('Mapa final'!$J$63="Baja",'Mapa final'!$N$63="Menor"),CONCATENATE("R",'Mapa final'!$A$63),"")</f>
        <v/>
      </c>
      <c r="S36" s="362"/>
      <c r="T36" s="362" t="str">
        <f>IF(AND('Mapa final'!$J$69="Baja",'Mapa final'!$N$69="Menor"),CONCATENATE("R",'Mapa final'!$A$69),"")</f>
        <v/>
      </c>
      <c r="U36" s="363"/>
      <c r="V36" s="361" t="str">
        <f ca="1">IF(AND('Mapa final'!$J$57="Baja",'Mapa final'!$N$57="Moderado"),CONCATENATE("R",'Mapa final'!$A$57),"")</f>
        <v/>
      </c>
      <c r="W36" s="362"/>
      <c r="X36" s="362" t="str">
        <f>IF(AND('Mapa final'!$J$63="Baja",'Mapa final'!$N$63="Moderado"),CONCATENATE("R",'Mapa final'!$A$63),"")</f>
        <v/>
      </c>
      <c r="Y36" s="362"/>
      <c r="Z36" s="362" t="str">
        <f>IF(AND('Mapa final'!$J$69="Baja",'Mapa final'!$N$69="Moderado"),CONCATENATE("R",'Mapa final'!$A$69),"")</f>
        <v/>
      </c>
      <c r="AA36" s="363"/>
      <c r="AB36" s="345" t="str">
        <f ca="1">IF(AND('Mapa final'!$J$57="Baja",'Mapa final'!$N$57="Mayor"),CONCATENATE("R",'Mapa final'!$A$57),"")</f>
        <v/>
      </c>
      <c r="AC36" s="341"/>
      <c r="AD36" s="341" t="str">
        <f>IF(AND('Mapa final'!$J$63="Baja",'Mapa final'!$N$63="Mayor"),CONCATENATE("R",'Mapa final'!$A$63),"")</f>
        <v/>
      </c>
      <c r="AE36" s="341"/>
      <c r="AF36" s="341" t="str">
        <f>IF(AND('Mapa final'!$J$69="Baja",'Mapa final'!$N$69="Mayor"),CONCATENATE("R",'Mapa final'!$A$69),"")</f>
        <v/>
      </c>
      <c r="AG36" s="342"/>
      <c r="AH36" s="352" t="str">
        <f ca="1">IF(AND('Mapa final'!$J$57="Baja",'Mapa final'!$N$57="Catastrófico"),CONCATENATE("R",'Mapa final'!$A$57),"")</f>
        <v/>
      </c>
      <c r="AI36" s="353"/>
      <c r="AJ36" s="353" t="str">
        <f>IF(AND('Mapa final'!$J$63="Baja",'Mapa final'!$N$63="Catastrófico"),CONCATENATE("R",'Mapa final'!$A$63),"")</f>
        <v/>
      </c>
      <c r="AK36" s="353"/>
      <c r="AL36" s="353" t="str">
        <f>IF(AND('Mapa final'!$J$69="Baja",'Mapa final'!$N$69="Catastrófico"),CONCATENATE("R",'Mapa final'!$A$69),"")</f>
        <v/>
      </c>
      <c r="AM36" s="354"/>
      <c r="AN36" s="67"/>
      <c r="AO36" s="326"/>
      <c r="AP36" s="327"/>
      <c r="AQ36" s="327"/>
      <c r="AR36" s="327"/>
      <c r="AS36" s="327"/>
      <c r="AT36" s="32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294"/>
      <c r="C37" s="294"/>
      <c r="D37" s="295"/>
      <c r="E37" s="338"/>
      <c r="F37" s="339"/>
      <c r="G37" s="339"/>
      <c r="H37" s="339"/>
      <c r="I37" s="339"/>
      <c r="J37" s="373"/>
      <c r="K37" s="374"/>
      <c r="L37" s="374"/>
      <c r="M37" s="374"/>
      <c r="N37" s="374"/>
      <c r="O37" s="375"/>
      <c r="P37" s="365"/>
      <c r="Q37" s="365"/>
      <c r="R37" s="365"/>
      <c r="S37" s="365"/>
      <c r="T37" s="365"/>
      <c r="U37" s="366"/>
      <c r="V37" s="364"/>
      <c r="W37" s="365"/>
      <c r="X37" s="365"/>
      <c r="Y37" s="365"/>
      <c r="Z37" s="365"/>
      <c r="AA37" s="366"/>
      <c r="AB37" s="349"/>
      <c r="AC37" s="350"/>
      <c r="AD37" s="350"/>
      <c r="AE37" s="350"/>
      <c r="AF37" s="350"/>
      <c r="AG37" s="351"/>
      <c r="AH37" s="355"/>
      <c r="AI37" s="356"/>
      <c r="AJ37" s="356"/>
      <c r="AK37" s="356"/>
      <c r="AL37" s="356"/>
      <c r="AM37" s="357"/>
      <c r="AN37" s="67"/>
      <c r="AO37" s="329"/>
      <c r="AP37" s="330"/>
      <c r="AQ37" s="330"/>
      <c r="AR37" s="330"/>
      <c r="AS37" s="330"/>
      <c r="AT37" s="33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294"/>
      <c r="C38" s="294"/>
      <c r="D38" s="295"/>
      <c r="E38" s="332" t="s">
        <v>108</v>
      </c>
      <c r="F38" s="333"/>
      <c r="G38" s="333"/>
      <c r="H38" s="333"/>
      <c r="I38" s="334"/>
      <c r="J38" s="376" t="str">
        <f ca="1">IF(AND('Mapa final'!$J$10="Muy Baja",'Mapa final'!$N$10="Leve"),CONCATENATE("R",'Mapa final'!$A$10),"")</f>
        <v/>
      </c>
      <c r="K38" s="377"/>
      <c r="L38" s="377" t="str">
        <f ca="1">IF(AND('Mapa final'!$J$12="Muy Baja",'Mapa final'!$N$12="Leve"),CONCATENATE("R",'Mapa final'!$A$12),"")</f>
        <v/>
      </c>
      <c r="M38" s="377"/>
      <c r="N38" s="377" t="str">
        <f ca="1">IF(AND('Mapa final'!$J$15="Muy Baja",'Mapa final'!$N$15="Leve"),CONCATENATE("R",'Mapa final'!$A$15),"")</f>
        <v/>
      </c>
      <c r="O38" s="378"/>
      <c r="P38" s="376" t="str">
        <f ca="1">IF(AND('Mapa final'!$J$10="Muy Baja",'Mapa final'!$N$10="Menor"),CONCATENATE("R",'Mapa final'!$A$10),"")</f>
        <v/>
      </c>
      <c r="Q38" s="377"/>
      <c r="R38" s="377" t="str">
        <f ca="1">IF(AND('Mapa final'!$J$12="Muy Baja",'Mapa final'!$N$12="Menor"),CONCATENATE("R",'Mapa final'!$A$12),"")</f>
        <v/>
      </c>
      <c r="S38" s="377"/>
      <c r="T38" s="377" t="str">
        <f ca="1">IF(AND('Mapa final'!$J$15="Muy Baja",'Mapa final'!$N$15="Menor"),CONCATENATE("R",'Mapa final'!$A$15),"")</f>
        <v/>
      </c>
      <c r="U38" s="378"/>
      <c r="V38" s="367" t="str">
        <f ca="1">IF(AND('Mapa final'!$J$10="Muy Baja",'Mapa final'!$N$10="Moderado"),CONCATENATE("R",'Mapa final'!$A$10),"")</f>
        <v/>
      </c>
      <c r="W38" s="368"/>
      <c r="X38" s="368" t="str">
        <f ca="1">IF(AND('Mapa final'!$J$12="Muy Baja",'Mapa final'!$N$12="Moderado"),CONCATENATE("R",'Mapa final'!$A$12),"")</f>
        <v/>
      </c>
      <c r="Y38" s="368"/>
      <c r="Z38" s="368" t="str">
        <f ca="1">IF(AND('Mapa final'!$J$15="Muy Baja",'Mapa final'!$N$15="Moderado"),CONCATENATE("R",'Mapa final'!$A$15),"")</f>
        <v/>
      </c>
      <c r="AA38" s="369"/>
      <c r="AB38" s="343" t="str">
        <f ca="1">IF(AND('Mapa final'!$J$10="Muy Baja",'Mapa final'!$N$10="Mayor"),CONCATENATE("R",'Mapa final'!$A$10),"")</f>
        <v/>
      </c>
      <c r="AC38" s="344"/>
      <c r="AD38" s="344" t="str">
        <f ca="1">IF(AND('Mapa final'!$J$12="Muy Baja",'Mapa final'!$N$12="Mayor"),CONCATENATE("R",'Mapa final'!$A$12),"")</f>
        <v/>
      </c>
      <c r="AE38" s="344"/>
      <c r="AF38" s="344" t="str">
        <f ca="1">IF(AND('Mapa final'!$J$15="Muy Baja",'Mapa final'!$N$15="Mayor"),CONCATENATE("R",'Mapa final'!$A$15),"")</f>
        <v/>
      </c>
      <c r="AG38" s="346"/>
      <c r="AH38" s="358" t="str">
        <f ca="1">IF(AND('Mapa final'!$J$10="Muy Baja",'Mapa final'!$N$10="Catastrófico"),CONCATENATE("R",'Mapa final'!$A$10),"")</f>
        <v/>
      </c>
      <c r="AI38" s="359"/>
      <c r="AJ38" s="359" t="str">
        <f ca="1">IF(AND('Mapa final'!$J$12="Muy Baja",'Mapa final'!$N$12="Catastrófico"),CONCATENATE("R",'Mapa final'!$A$12),"")</f>
        <v/>
      </c>
      <c r="AK38" s="359"/>
      <c r="AL38" s="359" t="str">
        <f ca="1">IF(AND('Mapa final'!$J$15="Muy Baja",'Mapa final'!$N$15="Catastrófico"),CONCATENATE("R",'Mapa final'!$A$15),"")</f>
        <v/>
      </c>
      <c r="AM38" s="360"/>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294"/>
      <c r="C39" s="294"/>
      <c r="D39" s="295"/>
      <c r="E39" s="335"/>
      <c r="F39" s="336"/>
      <c r="G39" s="336"/>
      <c r="H39" s="336"/>
      <c r="I39" s="337"/>
      <c r="J39" s="372"/>
      <c r="K39" s="370"/>
      <c r="L39" s="370"/>
      <c r="M39" s="370"/>
      <c r="N39" s="370"/>
      <c r="O39" s="371"/>
      <c r="P39" s="372"/>
      <c r="Q39" s="370"/>
      <c r="R39" s="370"/>
      <c r="S39" s="370"/>
      <c r="T39" s="370"/>
      <c r="U39" s="371"/>
      <c r="V39" s="361"/>
      <c r="W39" s="362"/>
      <c r="X39" s="362"/>
      <c r="Y39" s="362"/>
      <c r="Z39" s="362"/>
      <c r="AA39" s="363"/>
      <c r="AB39" s="345"/>
      <c r="AC39" s="341"/>
      <c r="AD39" s="341"/>
      <c r="AE39" s="341"/>
      <c r="AF39" s="341"/>
      <c r="AG39" s="342"/>
      <c r="AH39" s="352"/>
      <c r="AI39" s="353"/>
      <c r="AJ39" s="353"/>
      <c r="AK39" s="353"/>
      <c r="AL39" s="353"/>
      <c r="AM39" s="354"/>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294"/>
      <c r="C40" s="294"/>
      <c r="D40" s="295"/>
      <c r="E40" s="335"/>
      <c r="F40" s="336"/>
      <c r="G40" s="336"/>
      <c r="H40" s="336"/>
      <c r="I40" s="337"/>
      <c r="J40" s="372" t="str">
        <f ca="1">IF(AND('Mapa final'!$J$21="Muy Baja",'Mapa final'!$N$21="Leve"),CONCATENATE("R",'Mapa final'!$A$21),"")</f>
        <v/>
      </c>
      <c r="K40" s="370"/>
      <c r="L40" s="370" t="str">
        <f ca="1">IF(AND('Mapa final'!$J$27="Muy Baja",'Mapa final'!$N$27="Leve"),CONCATENATE("R",'Mapa final'!$A$27),"")</f>
        <v/>
      </c>
      <c r="M40" s="370"/>
      <c r="N40" s="370" t="str">
        <f ca="1">IF(AND('Mapa final'!$J$33="Muy Baja",'Mapa final'!$N$33="Leve"),CONCATENATE("R",'Mapa final'!$A$33),"")</f>
        <v/>
      </c>
      <c r="O40" s="371"/>
      <c r="P40" s="372" t="str">
        <f ca="1">IF(AND('Mapa final'!$J$21="Muy Baja",'Mapa final'!$N$21="Menor"),CONCATENATE("R",'Mapa final'!$A$21),"")</f>
        <v/>
      </c>
      <c r="Q40" s="370"/>
      <c r="R40" s="370" t="str">
        <f ca="1">IF(AND('Mapa final'!$J$27="Muy Baja",'Mapa final'!$N$27="Menor"),CONCATENATE("R",'Mapa final'!$A$27),"")</f>
        <v/>
      </c>
      <c r="S40" s="370"/>
      <c r="T40" s="370" t="str">
        <f ca="1">IF(AND('Mapa final'!$J$33="Muy Baja",'Mapa final'!$N$33="Menor"),CONCATENATE("R",'Mapa final'!$A$33),"")</f>
        <v/>
      </c>
      <c r="U40" s="371"/>
      <c r="V40" s="361" t="str">
        <f ca="1">IF(AND('Mapa final'!$J$21="Muy Baja",'Mapa final'!$N$21="Moderado"),CONCATENATE("R",'Mapa final'!$A$21),"")</f>
        <v/>
      </c>
      <c r="W40" s="362"/>
      <c r="X40" s="362" t="str">
        <f ca="1">IF(AND('Mapa final'!$J$27="Muy Baja",'Mapa final'!$N$27="Moderado"),CONCATENATE("R",'Mapa final'!$A$27),"")</f>
        <v/>
      </c>
      <c r="Y40" s="362"/>
      <c r="Z40" s="362" t="str">
        <f ca="1">IF(AND('Mapa final'!$J$33="Muy Baja",'Mapa final'!$N$33="Moderado"),CONCATENATE("R",'Mapa final'!$A$33),"")</f>
        <v/>
      </c>
      <c r="AA40" s="363"/>
      <c r="AB40" s="345" t="str">
        <f ca="1">IF(AND('Mapa final'!$J$21="Muy Baja",'Mapa final'!$N$21="Mayor"),CONCATENATE("R",'Mapa final'!$A$21),"")</f>
        <v/>
      </c>
      <c r="AC40" s="341"/>
      <c r="AD40" s="341" t="str">
        <f ca="1">IF(AND('Mapa final'!$J$27="Muy Baja",'Mapa final'!$N$27="Mayor"),CONCATENATE("R",'Mapa final'!$A$27),"")</f>
        <v/>
      </c>
      <c r="AE40" s="341"/>
      <c r="AF40" s="341" t="str">
        <f ca="1">IF(AND('Mapa final'!$J$33="Muy Baja",'Mapa final'!$N$33="Mayor"),CONCATENATE("R",'Mapa final'!$A$33),"")</f>
        <v/>
      </c>
      <c r="AG40" s="342"/>
      <c r="AH40" s="352" t="str">
        <f ca="1">IF(AND('Mapa final'!$J$21="Muy Baja",'Mapa final'!$N$21="Catastrófico"),CONCATENATE("R",'Mapa final'!$A$21),"")</f>
        <v/>
      </c>
      <c r="AI40" s="353"/>
      <c r="AJ40" s="353" t="str">
        <f ca="1">IF(AND('Mapa final'!$J$27="Muy Baja",'Mapa final'!$N$27="Catastrófico"),CONCATENATE("R",'Mapa final'!$A$27),"")</f>
        <v/>
      </c>
      <c r="AK40" s="353"/>
      <c r="AL40" s="353" t="str">
        <f ca="1">IF(AND('Mapa final'!$J$33="Muy Baja",'Mapa final'!$N$33="Catastrófico"),CONCATENATE("R",'Mapa final'!$A$33),"")</f>
        <v/>
      </c>
      <c r="AM40" s="354"/>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294"/>
      <c r="C41" s="294"/>
      <c r="D41" s="295"/>
      <c r="E41" s="335"/>
      <c r="F41" s="336"/>
      <c r="G41" s="336"/>
      <c r="H41" s="336"/>
      <c r="I41" s="337"/>
      <c r="J41" s="372"/>
      <c r="K41" s="370"/>
      <c r="L41" s="370"/>
      <c r="M41" s="370"/>
      <c r="N41" s="370"/>
      <c r="O41" s="371"/>
      <c r="P41" s="372"/>
      <c r="Q41" s="370"/>
      <c r="R41" s="370"/>
      <c r="S41" s="370"/>
      <c r="T41" s="370"/>
      <c r="U41" s="371"/>
      <c r="V41" s="361"/>
      <c r="W41" s="362"/>
      <c r="X41" s="362"/>
      <c r="Y41" s="362"/>
      <c r="Z41" s="362"/>
      <c r="AA41" s="363"/>
      <c r="AB41" s="345"/>
      <c r="AC41" s="341"/>
      <c r="AD41" s="341"/>
      <c r="AE41" s="341"/>
      <c r="AF41" s="341"/>
      <c r="AG41" s="342"/>
      <c r="AH41" s="352"/>
      <c r="AI41" s="353"/>
      <c r="AJ41" s="353"/>
      <c r="AK41" s="353"/>
      <c r="AL41" s="353"/>
      <c r="AM41" s="354"/>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294"/>
      <c r="C42" s="294"/>
      <c r="D42" s="295"/>
      <c r="E42" s="335"/>
      <c r="F42" s="336"/>
      <c r="G42" s="336"/>
      <c r="H42" s="336"/>
      <c r="I42" s="337"/>
      <c r="J42" s="372" t="str">
        <f ca="1">IF(AND('Mapa final'!$J$39="Muy Baja",'Mapa final'!$N$39="Leve"),CONCATENATE("R",'Mapa final'!$A$39),"")</f>
        <v/>
      </c>
      <c r="K42" s="370"/>
      <c r="L42" s="370" t="str">
        <f ca="1">IF(AND('Mapa final'!$J$45="Muy Baja",'Mapa final'!$N$45="Leve"),CONCATENATE("R",'Mapa final'!$A$45),"")</f>
        <v/>
      </c>
      <c r="M42" s="370"/>
      <c r="N42" s="370" t="str">
        <f ca="1">IF(AND('Mapa final'!$J$51="Muy Baja",'Mapa final'!$N$51="Leve"),CONCATENATE("R",'Mapa final'!$A$51),"")</f>
        <v/>
      </c>
      <c r="O42" s="371"/>
      <c r="P42" s="372" t="str">
        <f ca="1">IF(AND('Mapa final'!$J$39="Muy Baja",'Mapa final'!$N$39="Menor"),CONCATENATE("R",'Mapa final'!$A$39),"")</f>
        <v/>
      </c>
      <c r="Q42" s="370"/>
      <c r="R42" s="370" t="str">
        <f ca="1">IF(AND('Mapa final'!$J$45="Muy Baja",'Mapa final'!$N$45="Menor"),CONCATENATE("R",'Mapa final'!$A$45),"")</f>
        <v/>
      </c>
      <c r="S42" s="370"/>
      <c r="T42" s="370" t="str">
        <f ca="1">IF(AND('Mapa final'!$J$51="Muy Baja",'Mapa final'!$N$51="Menor"),CONCATENATE("R",'Mapa final'!$A$51),"")</f>
        <v/>
      </c>
      <c r="U42" s="371"/>
      <c r="V42" s="361" t="str">
        <f ca="1">IF(AND('Mapa final'!$J$39="Muy Baja",'Mapa final'!$N$39="Moderado"),CONCATENATE("R",'Mapa final'!$A$39),"")</f>
        <v/>
      </c>
      <c r="W42" s="362"/>
      <c r="X42" s="362" t="str">
        <f ca="1">IF(AND('Mapa final'!$J$45="Muy Baja",'Mapa final'!$N$45="Moderado"),CONCATENATE("R",'Mapa final'!$A$45),"")</f>
        <v/>
      </c>
      <c r="Y42" s="362"/>
      <c r="Z42" s="362" t="str">
        <f ca="1">IF(AND('Mapa final'!$J$51="Muy Baja",'Mapa final'!$N$51="Moderado"),CONCATENATE("R",'Mapa final'!$A$51),"")</f>
        <v/>
      </c>
      <c r="AA42" s="363"/>
      <c r="AB42" s="345" t="str">
        <f ca="1">IF(AND('Mapa final'!$J$39="Muy Baja",'Mapa final'!$N$39="Mayor"),CONCATENATE("R",'Mapa final'!$A$39),"")</f>
        <v/>
      </c>
      <c r="AC42" s="341"/>
      <c r="AD42" s="341" t="str">
        <f ca="1">IF(AND('Mapa final'!$J$45="Muy Baja",'Mapa final'!$N$45="Mayor"),CONCATENATE("R",'Mapa final'!$A$45),"")</f>
        <v/>
      </c>
      <c r="AE42" s="341"/>
      <c r="AF42" s="341" t="str">
        <f ca="1">IF(AND('Mapa final'!$J$51="Muy Baja",'Mapa final'!$N$51="Mayor"),CONCATENATE("R",'Mapa final'!$A$51),"")</f>
        <v/>
      </c>
      <c r="AG42" s="342"/>
      <c r="AH42" s="352" t="str">
        <f ca="1">IF(AND('Mapa final'!$J$39="Muy Baja",'Mapa final'!$N$39="Catastrófico"),CONCATENATE("R",'Mapa final'!$A$39),"")</f>
        <v/>
      </c>
      <c r="AI42" s="353"/>
      <c r="AJ42" s="353" t="str">
        <f ca="1">IF(AND('Mapa final'!$J$45="Muy Baja",'Mapa final'!$N$45="Catastrófico"),CONCATENATE("R",'Mapa final'!$A$45),"")</f>
        <v/>
      </c>
      <c r="AK42" s="353"/>
      <c r="AL42" s="353" t="str">
        <f ca="1">IF(AND('Mapa final'!$J$51="Muy Baja",'Mapa final'!$N$51="Catastrófico"),CONCATENATE("R",'Mapa final'!$A$51),"")</f>
        <v/>
      </c>
      <c r="AM42" s="354"/>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294"/>
      <c r="C43" s="294"/>
      <c r="D43" s="295"/>
      <c r="E43" s="335"/>
      <c r="F43" s="336"/>
      <c r="G43" s="336"/>
      <c r="H43" s="336"/>
      <c r="I43" s="337"/>
      <c r="J43" s="372"/>
      <c r="K43" s="370"/>
      <c r="L43" s="370"/>
      <c r="M43" s="370"/>
      <c r="N43" s="370"/>
      <c r="O43" s="371"/>
      <c r="P43" s="372"/>
      <c r="Q43" s="370"/>
      <c r="R43" s="370"/>
      <c r="S43" s="370"/>
      <c r="T43" s="370"/>
      <c r="U43" s="371"/>
      <c r="V43" s="361"/>
      <c r="W43" s="362"/>
      <c r="X43" s="362"/>
      <c r="Y43" s="362"/>
      <c r="Z43" s="362"/>
      <c r="AA43" s="363"/>
      <c r="AB43" s="345"/>
      <c r="AC43" s="341"/>
      <c r="AD43" s="341"/>
      <c r="AE43" s="341"/>
      <c r="AF43" s="341"/>
      <c r="AG43" s="342"/>
      <c r="AH43" s="352"/>
      <c r="AI43" s="353"/>
      <c r="AJ43" s="353"/>
      <c r="AK43" s="353"/>
      <c r="AL43" s="353"/>
      <c r="AM43" s="354"/>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294"/>
      <c r="C44" s="294"/>
      <c r="D44" s="295"/>
      <c r="E44" s="335"/>
      <c r="F44" s="336"/>
      <c r="G44" s="336"/>
      <c r="H44" s="336"/>
      <c r="I44" s="337"/>
      <c r="J44" s="372" t="str">
        <f ca="1">IF(AND('Mapa final'!$J$57="Muy Baja",'Mapa final'!$N$57="Leve"),CONCATENATE("R",'Mapa final'!$A$57),"")</f>
        <v/>
      </c>
      <c r="K44" s="370"/>
      <c r="L44" s="370" t="str">
        <f>IF(AND('Mapa final'!$J$63="Muy Baja",'Mapa final'!$N$63="Leve"),CONCATENATE("R",'Mapa final'!$A$63),"")</f>
        <v/>
      </c>
      <c r="M44" s="370"/>
      <c r="N44" s="370" t="str">
        <f>IF(AND('Mapa final'!$J$69="Muy Baja",'Mapa final'!$N$69="Leve"),CONCATENATE("R",'Mapa final'!$A$69),"")</f>
        <v/>
      </c>
      <c r="O44" s="371"/>
      <c r="P44" s="372" t="str">
        <f ca="1">IF(AND('Mapa final'!$J$57="Muy Baja",'Mapa final'!$N$57="Menor"),CONCATENATE("R",'Mapa final'!$A$57),"")</f>
        <v/>
      </c>
      <c r="Q44" s="370"/>
      <c r="R44" s="370" t="str">
        <f>IF(AND('Mapa final'!$J$63="Muy Baja",'Mapa final'!$N$63="Menor"),CONCATENATE("R",'Mapa final'!$A$63),"")</f>
        <v/>
      </c>
      <c r="S44" s="370"/>
      <c r="T44" s="370" t="str">
        <f>IF(AND('Mapa final'!$J$69="Muy Baja",'Mapa final'!$N$69="Menor"),CONCATENATE("R",'Mapa final'!$A$69),"")</f>
        <v/>
      </c>
      <c r="U44" s="371"/>
      <c r="V44" s="361" t="str">
        <f ca="1">IF(AND('Mapa final'!$J$57="Muy Baja",'Mapa final'!$N$57="Moderado"),CONCATENATE("R",'Mapa final'!$A$57),"")</f>
        <v/>
      </c>
      <c r="W44" s="362"/>
      <c r="X44" s="362" t="str">
        <f>IF(AND('Mapa final'!$J$63="Muy Baja",'Mapa final'!$N$63="Moderado"),CONCATENATE("R",'Mapa final'!$A$63),"")</f>
        <v/>
      </c>
      <c r="Y44" s="362"/>
      <c r="Z44" s="362" t="str">
        <f>IF(AND('Mapa final'!$J$69="Muy Baja",'Mapa final'!$N$69="Moderado"),CONCATENATE("R",'Mapa final'!$A$69),"")</f>
        <v/>
      </c>
      <c r="AA44" s="363"/>
      <c r="AB44" s="345" t="str">
        <f ca="1">IF(AND('Mapa final'!$J$57="Muy Baja",'Mapa final'!$N$57="Mayor"),CONCATENATE("R",'Mapa final'!$A$57),"")</f>
        <v/>
      </c>
      <c r="AC44" s="341"/>
      <c r="AD44" s="341" t="str">
        <f>IF(AND('Mapa final'!$J$63="Muy Baja",'Mapa final'!$N$63="Mayor"),CONCATENATE("R",'Mapa final'!$A$63),"")</f>
        <v/>
      </c>
      <c r="AE44" s="341"/>
      <c r="AF44" s="341" t="str">
        <f>IF(AND('Mapa final'!$J$69="Muy Baja",'Mapa final'!$N$69="Mayor"),CONCATENATE("R",'Mapa final'!$A$69),"")</f>
        <v/>
      </c>
      <c r="AG44" s="342"/>
      <c r="AH44" s="352" t="str">
        <f ca="1">IF(AND('Mapa final'!$J$57="Muy Baja",'Mapa final'!$N$57="Catastrófico"),CONCATENATE("R",'Mapa final'!$A$57),"")</f>
        <v/>
      </c>
      <c r="AI44" s="353"/>
      <c r="AJ44" s="353" t="str">
        <f>IF(AND('Mapa final'!$J$63="Muy Baja",'Mapa final'!$N$63="Catastrófico"),CONCATENATE("R",'Mapa final'!$A$63),"")</f>
        <v/>
      </c>
      <c r="AK44" s="353"/>
      <c r="AL44" s="353" t="str">
        <f>IF(AND('Mapa final'!$J$69="Muy Baja",'Mapa final'!$N$69="Catastrófico"),CONCATENATE("R",'Mapa final'!$A$69),"")</f>
        <v/>
      </c>
      <c r="AM44" s="354"/>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294"/>
      <c r="C45" s="294"/>
      <c r="D45" s="295"/>
      <c r="E45" s="338"/>
      <c r="F45" s="339"/>
      <c r="G45" s="339"/>
      <c r="H45" s="339"/>
      <c r="I45" s="340"/>
      <c r="J45" s="373"/>
      <c r="K45" s="374"/>
      <c r="L45" s="374"/>
      <c r="M45" s="374"/>
      <c r="N45" s="374"/>
      <c r="O45" s="375"/>
      <c r="P45" s="373"/>
      <c r="Q45" s="374"/>
      <c r="R45" s="374"/>
      <c r="S45" s="374"/>
      <c r="T45" s="374"/>
      <c r="U45" s="375"/>
      <c r="V45" s="364"/>
      <c r="W45" s="365"/>
      <c r="X45" s="365"/>
      <c r="Y45" s="365"/>
      <c r="Z45" s="365"/>
      <c r="AA45" s="366"/>
      <c r="AB45" s="349"/>
      <c r="AC45" s="350"/>
      <c r="AD45" s="350"/>
      <c r="AE45" s="350"/>
      <c r="AF45" s="350"/>
      <c r="AG45" s="351"/>
      <c r="AH45" s="355"/>
      <c r="AI45" s="356"/>
      <c r="AJ45" s="356"/>
      <c r="AK45" s="356"/>
      <c r="AL45" s="356"/>
      <c r="AM45" s="35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32" t="s">
        <v>107</v>
      </c>
      <c r="K46" s="333"/>
      <c r="L46" s="333"/>
      <c r="M46" s="333"/>
      <c r="N46" s="333"/>
      <c r="O46" s="334"/>
      <c r="P46" s="332" t="s">
        <v>106</v>
      </c>
      <c r="Q46" s="333"/>
      <c r="R46" s="333"/>
      <c r="S46" s="333"/>
      <c r="T46" s="333"/>
      <c r="U46" s="334"/>
      <c r="V46" s="332" t="s">
        <v>105</v>
      </c>
      <c r="W46" s="333"/>
      <c r="X46" s="333"/>
      <c r="Y46" s="333"/>
      <c r="Z46" s="333"/>
      <c r="AA46" s="334"/>
      <c r="AB46" s="332" t="s">
        <v>104</v>
      </c>
      <c r="AC46" s="348"/>
      <c r="AD46" s="333"/>
      <c r="AE46" s="333"/>
      <c r="AF46" s="333"/>
      <c r="AG46" s="334"/>
      <c r="AH46" s="332" t="s">
        <v>103</v>
      </c>
      <c r="AI46" s="333"/>
      <c r="AJ46" s="333"/>
      <c r="AK46" s="333"/>
      <c r="AL46" s="333"/>
      <c r="AM46" s="334"/>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35"/>
      <c r="K47" s="336"/>
      <c r="L47" s="336"/>
      <c r="M47" s="336"/>
      <c r="N47" s="336"/>
      <c r="O47" s="337"/>
      <c r="P47" s="335"/>
      <c r="Q47" s="336"/>
      <c r="R47" s="336"/>
      <c r="S47" s="336"/>
      <c r="T47" s="336"/>
      <c r="U47" s="337"/>
      <c r="V47" s="335"/>
      <c r="W47" s="336"/>
      <c r="X47" s="336"/>
      <c r="Y47" s="336"/>
      <c r="Z47" s="336"/>
      <c r="AA47" s="337"/>
      <c r="AB47" s="335"/>
      <c r="AC47" s="336"/>
      <c r="AD47" s="336"/>
      <c r="AE47" s="336"/>
      <c r="AF47" s="336"/>
      <c r="AG47" s="337"/>
      <c r="AH47" s="335"/>
      <c r="AI47" s="336"/>
      <c r="AJ47" s="336"/>
      <c r="AK47" s="336"/>
      <c r="AL47" s="336"/>
      <c r="AM47" s="33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35"/>
      <c r="K48" s="336"/>
      <c r="L48" s="336"/>
      <c r="M48" s="336"/>
      <c r="N48" s="336"/>
      <c r="O48" s="337"/>
      <c r="P48" s="335"/>
      <c r="Q48" s="336"/>
      <c r="R48" s="336"/>
      <c r="S48" s="336"/>
      <c r="T48" s="336"/>
      <c r="U48" s="337"/>
      <c r="V48" s="335"/>
      <c r="W48" s="336"/>
      <c r="X48" s="336"/>
      <c r="Y48" s="336"/>
      <c r="Z48" s="336"/>
      <c r="AA48" s="337"/>
      <c r="AB48" s="335"/>
      <c r="AC48" s="336"/>
      <c r="AD48" s="336"/>
      <c r="AE48" s="336"/>
      <c r="AF48" s="336"/>
      <c r="AG48" s="337"/>
      <c r="AH48" s="335"/>
      <c r="AI48" s="336"/>
      <c r="AJ48" s="336"/>
      <c r="AK48" s="336"/>
      <c r="AL48" s="336"/>
      <c r="AM48" s="33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35"/>
      <c r="K49" s="336"/>
      <c r="L49" s="336"/>
      <c r="M49" s="336"/>
      <c r="N49" s="336"/>
      <c r="O49" s="337"/>
      <c r="P49" s="335"/>
      <c r="Q49" s="336"/>
      <c r="R49" s="336"/>
      <c r="S49" s="336"/>
      <c r="T49" s="336"/>
      <c r="U49" s="337"/>
      <c r="V49" s="335"/>
      <c r="W49" s="336"/>
      <c r="X49" s="336"/>
      <c r="Y49" s="336"/>
      <c r="Z49" s="336"/>
      <c r="AA49" s="337"/>
      <c r="AB49" s="335"/>
      <c r="AC49" s="336"/>
      <c r="AD49" s="336"/>
      <c r="AE49" s="336"/>
      <c r="AF49" s="336"/>
      <c r="AG49" s="337"/>
      <c r="AH49" s="335"/>
      <c r="AI49" s="336"/>
      <c r="AJ49" s="336"/>
      <c r="AK49" s="336"/>
      <c r="AL49" s="336"/>
      <c r="AM49" s="33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35"/>
      <c r="K50" s="336"/>
      <c r="L50" s="336"/>
      <c r="M50" s="336"/>
      <c r="N50" s="336"/>
      <c r="O50" s="337"/>
      <c r="P50" s="335"/>
      <c r="Q50" s="336"/>
      <c r="R50" s="336"/>
      <c r="S50" s="336"/>
      <c r="T50" s="336"/>
      <c r="U50" s="337"/>
      <c r="V50" s="335"/>
      <c r="W50" s="336"/>
      <c r="X50" s="336"/>
      <c r="Y50" s="336"/>
      <c r="Z50" s="336"/>
      <c r="AA50" s="337"/>
      <c r="AB50" s="335"/>
      <c r="AC50" s="336"/>
      <c r="AD50" s="336"/>
      <c r="AE50" s="336"/>
      <c r="AF50" s="336"/>
      <c r="AG50" s="337"/>
      <c r="AH50" s="335"/>
      <c r="AI50" s="336"/>
      <c r="AJ50" s="336"/>
      <c r="AK50" s="336"/>
      <c r="AL50" s="336"/>
      <c r="AM50" s="33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38"/>
      <c r="K51" s="339"/>
      <c r="L51" s="339"/>
      <c r="M51" s="339"/>
      <c r="N51" s="339"/>
      <c r="O51" s="340"/>
      <c r="P51" s="338"/>
      <c r="Q51" s="339"/>
      <c r="R51" s="339"/>
      <c r="S51" s="339"/>
      <c r="T51" s="339"/>
      <c r="U51" s="340"/>
      <c r="V51" s="338"/>
      <c r="W51" s="339"/>
      <c r="X51" s="339"/>
      <c r="Y51" s="339"/>
      <c r="Z51" s="339"/>
      <c r="AA51" s="340"/>
      <c r="AB51" s="338"/>
      <c r="AC51" s="339"/>
      <c r="AD51" s="339"/>
      <c r="AE51" s="339"/>
      <c r="AF51" s="339"/>
      <c r="AG51" s="340"/>
      <c r="AH51" s="338"/>
      <c r="AI51" s="339"/>
      <c r="AJ51" s="339"/>
      <c r="AK51" s="339"/>
      <c r="AL51" s="339"/>
      <c r="AM51" s="340"/>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05" t="s">
        <v>149</v>
      </c>
      <c r="C2" s="406"/>
      <c r="D2" s="406"/>
      <c r="E2" s="406"/>
      <c r="F2" s="406"/>
      <c r="G2" s="406"/>
      <c r="H2" s="406"/>
      <c r="I2" s="406"/>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06"/>
      <c r="C3" s="406"/>
      <c r="D3" s="406"/>
      <c r="E3" s="406"/>
      <c r="F3" s="406"/>
      <c r="G3" s="406"/>
      <c r="H3" s="406"/>
      <c r="I3" s="406"/>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06"/>
      <c r="C4" s="406"/>
      <c r="D4" s="406"/>
      <c r="E4" s="406"/>
      <c r="F4" s="406"/>
      <c r="G4" s="406"/>
      <c r="H4" s="406"/>
      <c r="I4" s="406"/>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294" t="s">
        <v>4</v>
      </c>
      <c r="C6" s="294"/>
      <c r="D6" s="295"/>
      <c r="E6" s="389" t="s">
        <v>111</v>
      </c>
      <c r="F6" s="390"/>
      <c r="G6" s="390"/>
      <c r="H6" s="390"/>
      <c r="I6" s="407"/>
      <c r="J6" s="30" t="str">
        <f ca="1">IF(AND('Mapa final'!$AA$10="Muy Alta",'Mapa final'!$AC$10="Leve"),CONCATENATE("R1C",'Mapa final'!$Q$10),"")</f>
        <v/>
      </c>
      <c r="K6" s="31" t="str">
        <f>IF(AND('Mapa final'!$AA$11="Muy Alta",'Mapa final'!$AC$11="Leve"),CONCATENATE("R1C",'Mapa final'!$Q$11),"")</f>
        <v/>
      </c>
      <c r="L6" s="31" t="e">
        <f>IF(AND('Mapa final'!#REF!="Muy Alta",'Mapa final'!#REF!="Leve"),CONCATENATE("R1C",'Mapa final'!#REF!),"")</f>
        <v>#REF!</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IF(AND('Mapa final'!$AA$11="Muy Alta",'Mapa final'!$AC$11="Menor"),CONCATENATE("R1C",'Mapa final'!$Q$11),"")</f>
        <v/>
      </c>
      <c r="R6" s="31" t="e">
        <f>IF(AND('Mapa final'!#REF!="Muy Alta",'Mapa final'!#REF!="Menor"),CONCATENATE("R1C",'Mapa final'!#REF!),"")</f>
        <v>#REF!</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IF(AND('Mapa final'!$AA$11="Muy Alta",'Mapa final'!$AC$11="Moderado"),CONCATENATE("R1C",'Mapa final'!$Q$11),"")</f>
        <v/>
      </c>
      <c r="X6" s="31" t="e">
        <f>IF(AND('Mapa final'!#REF!="Muy Alta",'Mapa final'!#REF!="Moderado"),CONCATENATE("R1C",'Mapa final'!#REF!),"")</f>
        <v>#REF!</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IF(AND('Mapa final'!$AA$11="Muy Alta",'Mapa final'!$AC$11="Mayor"),CONCATENATE("R1C",'Mapa final'!$Q$11),"")</f>
        <v/>
      </c>
      <c r="AD6" s="31" t="e">
        <f>IF(AND('Mapa final'!#REF!="Muy Alta",'Mapa final'!#REF!="Mayor"),CONCATENATE("R1C",'Mapa final'!#REF!),"")</f>
        <v>#REF!</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IF(AND('Mapa final'!$AA$11="Muy Alta",'Mapa final'!$AC$11="Catastrófico"),CONCATENATE("R1C",'Mapa final'!$Q$11),"")</f>
        <v/>
      </c>
      <c r="AJ6" s="34" t="e">
        <f>IF(AND('Mapa final'!#REF!="Muy Alta",'Mapa final'!#REF!="Catastrófico"),CONCATENATE("R1C",'Mapa final'!#REF!),"")</f>
        <v>#REF!</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396" t="s">
        <v>78</v>
      </c>
      <c r="AP6" s="397"/>
      <c r="AQ6" s="397"/>
      <c r="AR6" s="397"/>
      <c r="AS6" s="397"/>
      <c r="AT6" s="398"/>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294"/>
      <c r="C7" s="294"/>
      <c r="D7" s="295"/>
      <c r="E7" s="393"/>
      <c r="F7" s="392"/>
      <c r="G7" s="392"/>
      <c r="H7" s="392"/>
      <c r="I7" s="408"/>
      <c r="J7" s="36" t="str">
        <f>IF(AND('Mapa final'!$AA$12="Muy Alta",'Mapa final'!$AC$12="Leve"),CONCATENATE("R2C",'Mapa final'!$Q$12),"")</f>
        <v/>
      </c>
      <c r="K7" s="37" t="str">
        <f>IF(AND('Mapa final'!$AA$13="Muy Alta",'Mapa final'!$AC$13="Leve"),CONCATENATE("R2C",'Mapa final'!$Q$13),"")</f>
        <v/>
      </c>
      <c r="L7" s="37" t="str">
        <f>IF(AND('Mapa final'!$AA$14="Muy Alta",'Mapa final'!$AC$14="Leve"),CONCATENATE("R2C",'Mapa final'!$Q$14),"")</f>
        <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final'!$AA$12="Muy Alta",'Mapa final'!$AC$12="Menor"),CONCATENATE("R2C",'Mapa final'!$Q$12),"")</f>
        <v/>
      </c>
      <c r="Q7" s="37" t="str">
        <f>IF(AND('Mapa final'!$AA$13="Muy Alta",'Mapa final'!$AC$13="Menor"),CONCATENATE("R2C",'Mapa final'!$Q$13),"")</f>
        <v/>
      </c>
      <c r="R7" s="37" t="str">
        <f>IF(AND('Mapa final'!$AA$14="Muy Alta",'Mapa final'!$AC$14="Menor"),CONCATENATE("R2C",'Mapa final'!$Q$14),"")</f>
        <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final'!$AA$12="Muy Alta",'Mapa final'!$AC$12="Moderado"),CONCATENATE("R2C",'Mapa final'!$Q$12),"")</f>
        <v/>
      </c>
      <c r="W7" s="37" t="str">
        <f>IF(AND('Mapa final'!$AA$13="Muy Alta",'Mapa final'!$AC$13="Moderado"),CONCATENATE("R2C",'Mapa final'!$Q$13),"")</f>
        <v/>
      </c>
      <c r="X7" s="37" t="str">
        <f>IF(AND('Mapa final'!$AA$14="Muy Alta",'Mapa final'!$AC$14="Moderado"),CONCATENATE("R2C",'Mapa final'!$Q$14),"")</f>
        <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final'!$AA$12="Muy Alta",'Mapa final'!$AC$12="Mayor"),CONCATENATE("R2C",'Mapa final'!$Q$12),"")</f>
        <v/>
      </c>
      <c r="AC7" s="37" t="str">
        <f>IF(AND('Mapa final'!$AA$13="Muy Alta",'Mapa final'!$AC$13="Mayor"),CONCATENATE("R2C",'Mapa final'!$Q$13),"")</f>
        <v/>
      </c>
      <c r="AD7" s="37" t="str">
        <f>IF(AND('Mapa final'!$AA$14="Muy Alta",'Mapa final'!$AC$14="Mayor"),CONCATENATE("R2C",'Mapa final'!$Q$14),"")</f>
        <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final'!$AA$12="Muy Alta",'Mapa final'!$AC$12="Catastrófico"),CONCATENATE("R2C",'Mapa final'!$Q$12),"")</f>
        <v/>
      </c>
      <c r="AI7" s="40" t="str">
        <f>IF(AND('Mapa final'!$AA$13="Muy Alta",'Mapa final'!$AC$13="Catastrófico"),CONCATENATE("R2C",'Mapa final'!$Q$13),"")</f>
        <v/>
      </c>
      <c r="AJ7" s="40" t="str">
        <f>IF(AND('Mapa final'!$AA$14="Muy Alta",'Mapa final'!$AC$14="Catastrófico"),CONCATENATE("R2C",'Mapa final'!$Q$14),"")</f>
        <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399"/>
      <c r="AP7" s="400"/>
      <c r="AQ7" s="400"/>
      <c r="AR7" s="400"/>
      <c r="AS7" s="400"/>
      <c r="AT7" s="401"/>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294"/>
      <c r="C8" s="294"/>
      <c r="D8" s="295"/>
      <c r="E8" s="393"/>
      <c r="F8" s="392"/>
      <c r="G8" s="392"/>
      <c r="H8" s="392"/>
      <c r="I8" s="408"/>
      <c r="J8" s="36" t="str">
        <f>IF(AND('Mapa final'!$AA$15="Muy Alta",'Mapa final'!$AC$15="Leve"),CONCATENATE("R3C",'Mapa final'!$Q$15),"")</f>
        <v/>
      </c>
      <c r="K8" s="37" t="str">
        <f>IF(AND('Mapa final'!$AA$16="Muy Alta",'Mapa final'!$AC$16="Leve"),CONCATENATE("R3C",'Mapa final'!$Q$16),"")</f>
        <v/>
      </c>
      <c r="L8" s="37" t="str">
        <f>IF(AND('Mapa final'!$AA$17="Muy Alta",'Mapa final'!$AC$17="Leve"),CONCATENATE("R3C",'Mapa final'!$Q$17),"")</f>
        <v/>
      </c>
      <c r="M8" s="37" t="str">
        <f>IF(AND('Mapa final'!$AA$18="Muy Alta",'Mapa final'!$AC$18="Leve"),CONCATENATE("R3C",'Mapa final'!$Q$18),"")</f>
        <v/>
      </c>
      <c r="N8" s="37" t="str">
        <f>IF(AND('Mapa final'!$AA$19="Muy Alta",'Mapa final'!$AC$19="Leve"),CONCATENATE("R3C",'Mapa final'!$Q$19),"")</f>
        <v/>
      </c>
      <c r="O8" s="38" t="str">
        <f>IF(AND('Mapa final'!$AA$20="Muy Alta",'Mapa final'!$AC$20="Leve"),CONCATENATE("R3C",'Mapa final'!$Q$20),"")</f>
        <v/>
      </c>
      <c r="P8" s="36" t="str">
        <f>IF(AND('Mapa final'!$AA$15="Muy Alta",'Mapa final'!$AC$15="Menor"),CONCATENATE("R3C",'Mapa final'!$Q$15),"")</f>
        <v/>
      </c>
      <c r="Q8" s="37" t="str">
        <f>IF(AND('Mapa final'!$AA$16="Muy Alta",'Mapa final'!$AC$16="Menor"),CONCATENATE("R3C",'Mapa final'!$Q$16),"")</f>
        <v/>
      </c>
      <c r="R8" s="37" t="str">
        <f>IF(AND('Mapa final'!$AA$17="Muy Alta",'Mapa final'!$AC$17="Menor"),CONCATENATE("R3C",'Mapa final'!$Q$17),"")</f>
        <v/>
      </c>
      <c r="S8" s="37" t="str">
        <f>IF(AND('Mapa final'!$AA$18="Muy Alta",'Mapa final'!$AC$18="Menor"),CONCATENATE("R3C",'Mapa final'!$Q$18),"")</f>
        <v/>
      </c>
      <c r="T8" s="37" t="str">
        <f>IF(AND('Mapa final'!$AA$19="Muy Alta",'Mapa final'!$AC$19="Menor"),CONCATENATE("R3C",'Mapa final'!$Q$19),"")</f>
        <v/>
      </c>
      <c r="U8" s="38" t="str">
        <f>IF(AND('Mapa final'!$AA$20="Muy Alta",'Mapa final'!$AC$20="Menor"),CONCATENATE("R3C",'Mapa final'!$Q$20),"")</f>
        <v/>
      </c>
      <c r="V8" s="36" t="str">
        <f>IF(AND('Mapa final'!$AA$15="Muy Alta",'Mapa final'!$AC$15="Moderado"),CONCATENATE("R3C",'Mapa final'!$Q$15),"")</f>
        <v/>
      </c>
      <c r="W8" s="37" t="str">
        <f>IF(AND('Mapa final'!$AA$16="Muy Alta",'Mapa final'!$AC$16="Moderado"),CONCATENATE("R3C",'Mapa final'!$Q$16),"")</f>
        <v/>
      </c>
      <c r="X8" s="37" t="str">
        <f>IF(AND('Mapa final'!$AA$17="Muy Alta",'Mapa final'!$AC$17="Moderado"),CONCATENATE("R3C",'Mapa final'!$Q$17),"")</f>
        <v/>
      </c>
      <c r="Y8" s="37" t="str">
        <f>IF(AND('Mapa final'!$AA$18="Muy Alta",'Mapa final'!$AC$18="Moderado"),CONCATENATE("R3C",'Mapa final'!$Q$18),"")</f>
        <v/>
      </c>
      <c r="Z8" s="37" t="str">
        <f>IF(AND('Mapa final'!$AA$19="Muy Alta",'Mapa final'!$AC$19="Moderado"),CONCATENATE("R3C",'Mapa final'!$Q$19),"")</f>
        <v/>
      </c>
      <c r="AA8" s="38" t="str">
        <f>IF(AND('Mapa final'!$AA$20="Muy Alta",'Mapa final'!$AC$20="Moderado"),CONCATENATE("R3C",'Mapa final'!$Q$20),"")</f>
        <v/>
      </c>
      <c r="AB8" s="36" t="str">
        <f>IF(AND('Mapa final'!$AA$15="Muy Alta",'Mapa final'!$AC$15="Mayor"),CONCATENATE("R3C",'Mapa final'!$Q$15),"")</f>
        <v/>
      </c>
      <c r="AC8" s="37" t="str">
        <f>IF(AND('Mapa final'!$AA$16="Muy Alta",'Mapa final'!$AC$16="Mayor"),CONCATENATE("R3C",'Mapa final'!$Q$16),"")</f>
        <v/>
      </c>
      <c r="AD8" s="37" t="str">
        <f>IF(AND('Mapa final'!$AA$17="Muy Alta",'Mapa final'!$AC$17="Mayor"),CONCATENATE("R3C",'Mapa final'!$Q$17),"")</f>
        <v/>
      </c>
      <c r="AE8" s="37" t="str">
        <f>IF(AND('Mapa final'!$AA$18="Muy Alta",'Mapa final'!$AC$18="Mayor"),CONCATENATE("R3C",'Mapa final'!$Q$18),"")</f>
        <v/>
      </c>
      <c r="AF8" s="37" t="str">
        <f>IF(AND('Mapa final'!$AA$19="Muy Alta",'Mapa final'!$AC$19="Mayor"),CONCATENATE("R3C",'Mapa final'!$Q$19),"")</f>
        <v/>
      </c>
      <c r="AG8" s="38" t="str">
        <f>IF(AND('Mapa final'!$AA$20="Muy Alta",'Mapa final'!$AC$20="Mayor"),CONCATENATE("R3C",'Mapa final'!$Q$20),"")</f>
        <v/>
      </c>
      <c r="AH8" s="39" t="str">
        <f>IF(AND('Mapa final'!$AA$15="Muy Alta",'Mapa final'!$AC$15="Catastrófico"),CONCATENATE("R3C",'Mapa final'!$Q$15),"")</f>
        <v/>
      </c>
      <c r="AI8" s="40" t="str">
        <f>IF(AND('Mapa final'!$AA$16="Muy Alta",'Mapa final'!$AC$16="Catastrófico"),CONCATENATE("R3C",'Mapa final'!$Q$16),"")</f>
        <v/>
      </c>
      <c r="AJ8" s="40" t="str">
        <f>IF(AND('Mapa final'!$AA$17="Muy Alta",'Mapa final'!$AC$17="Catastrófico"),CONCATENATE("R3C",'Mapa final'!$Q$17),"")</f>
        <v/>
      </c>
      <c r="AK8" s="40" t="str">
        <f>IF(AND('Mapa final'!$AA$18="Muy Alta",'Mapa final'!$AC$18="Catastrófico"),CONCATENATE("R3C",'Mapa final'!$Q$18),"")</f>
        <v/>
      </c>
      <c r="AL8" s="40" t="str">
        <f>IF(AND('Mapa final'!$AA$19="Muy Alta",'Mapa final'!$AC$19="Catastrófico"),CONCATENATE("R3C",'Mapa final'!$Q$19),"")</f>
        <v/>
      </c>
      <c r="AM8" s="41" t="str">
        <f>IF(AND('Mapa final'!$AA$20="Muy Alta",'Mapa final'!$AC$20="Catastrófico"),CONCATENATE("R3C",'Mapa final'!$Q$20),"")</f>
        <v/>
      </c>
      <c r="AN8" s="67"/>
      <c r="AO8" s="399"/>
      <c r="AP8" s="400"/>
      <c r="AQ8" s="400"/>
      <c r="AR8" s="400"/>
      <c r="AS8" s="400"/>
      <c r="AT8" s="401"/>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294"/>
      <c r="C9" s="294"/>
      <c r="D9" s="295"/>
      <c r="E9" s="393"/>
      <c r="F9" s="392"/>
      <c r="G9" s="392"/>
      <c r="H9" s="392"/>
      <c r="I9" s="408"/>
      <c r="J9" s="36" t="str">
        <f>IF(AND('Mapa final'!$AA$21="Muy Alta",'Mapa final'!$AC$21="Leve"),CONCATENATE("R4C",'Mapa final'!$Q$21),"")</f>
        <v/>
      </c>
      <c r="K9" s="37" t="str">
        <f>IF(AND('Mapa final'!$AA$22="Muy Alta",'Mapa final'!$AC$22="Leve"),CONCATENATE("R4C",'Mapa final'!$Q$22),"")</f>
        <v/>
      </c>
      <c r="L9" s="37" t="str">
        <f>IF(AND('Mapa final'!$AA$23="Muy Alta",'Mapa final'!$AC$23="Leve"),CONCATENATE("R4C",'Mapa final'!$Q$23),"")</f>
        <v/>
      </c>
      <c r="M9" s="37" t="str">
        <f>IF(AND('Mapa final'!$AA$24="Muy Alta",'Mapa final'!$AC$24="Leve"),CONCATENATE("R4C",'Mapa final'!$Q$24),"")</f>
        <v/>
      </c>
      <c r="N9" s="37" t="str">
        <f>IF(AND('Mapa final'!$AA$25="Muy Alta",'Mapa final'!$AC$25="Leve"),CONCATENATE("R4C",'Mapa final'!$Q$25),"")</f>
        <v/>
      </c>
      <c r="O9" s="38" t="str">
        <f>IF(AND('Mapa final'!$AA$26="Muy Alta",'Mapa final'!$AC$26="Leve"),CONCATENATE("R4C",'Mapa final'!$Q$26),"")</f>
        <v/>
      </c>
      <c r="P9" s="36" t="str">
        <f>IF(AND('Mapa final'!$AA$21="Muy Alta",'Mapa final'!$AC$21="Menor"),CONCATENATE("R4C",'Mapa final'!$Q$21),"")</f>
        <v/>
      </c>
      <c r="Q9" s="37" t="str">
        <f>IF(AND('Mapa final'!$AA$22="Muy Alta",'Mapa final'!$AC$22="Menor"),CONCATENATE("R4C",'Mapa final'!$Q$22),"")</f>
        <v/>
      </c>
      <c r="R9" s="37" t="str">
        <f>IF(AND('Mapa final'!$AA$23="Muy Alta",'Mapa final'!$AC$23="Menor"),CONCATENATE("R4C",'Mapa final'!$Q$23),"")</f>
        <v/>
      </c>
      <c r="S9" s="37" t="str">
        <f>IF(AND('Mapa final'!$AA$24="Muy Alta",'Mapa final'!$AC$24="Menor"),CONCATENATE("R4C",'Mapa final'!$Q$24),"")</f>
        <v/>
      </c>
      <c r="T9" s="37" t="str">
        <f>IF(AND('Mapa final'!$AA$25="Muy Alta",'Mapa final'!$AC$25="Menor"),CONCATENATE("R4C",'Mapa final'!$Q$25),"")</f>
        <v/>
      </c>
      <c r="U9" s="38" t="str">
        <f>IF(AND('Mapa final'!$AA$26="Muy Alta",'Mapa final'!$AC$26="Menor"),CONCATENATE("R4C",'Mapa final'!$Q$26),"")</f>
        <v/>
      </c>
      <c r="V9" s="36" t="str">
        <f>IF(AND('Mapa final'!$AA$21="Muy Alta",'Mapa final'!$AC$21="Moderado"),CONCATENATE("R4C",'Mapa final'!$Q$21),"")</f>
        <v/>
      </c>
      <c r="W9" s="37" t="str">
        <f>IF(AND('Mapa final'!$AA$22="Muy Alta",'Mapa final'!$AC$22="Moderado"),CONCATENATE("R4C",'Mapa final'!$Q$22),"")</f>
        <v/>
      </c>
      <c r="X9" s="37" t="str">
        <f>IF(AND('Mapa final'!$AA$23="Muy Alta",'Mapa final'!$AC$23="Moderado"),CONCATENATE("R4C",'Mapa final'!$Q$23),"")</f>
        <v/>
      </c>
      <c r="Y9" s="37" t="str">
        <f>IF(AND('Mapa final'!$AA$24="Muy Alta",'Mapa final'!$AC$24="Moderado"),CONCATENATE("R4C",'Mapa final'!$Q$24),"")</f>
        <v/>
      </c>
      <c r="Z9" s="37" t="str">
        <f>IF(AND('Mapa final'!$AA$25="Muy Alta",'Mapa final'!$AC$25="Moderado"),CONCATENATE("R4C",'Mapa final'!$Q$25),"")</f>
        <v/>
      </c>
      <c r="AA9" s="38" t="str">
        <f>IF(AND('Mapa final'!$AA$26="Muy Alta",'Mapa final'!$AC$26="Moderado"),CONCATENATE("R4C",'Mapa final'!$Q$26),"")</f>
        <v/>
      </c>
      <c r="AB9" s="36" t="str">
        <f>IF(AND('Mapa final'!$AA$21="Muy Alta",'Mapa final'!$AC$21="Mayor"),CONCATENATE("R4C",'Mapa final'!$Q$21),"")</f>
        <v/>
      </c>
      <c r="AC9" s="37" t="str">
        <f>IF(AND('Mapa final'!$AA$22="Muy Alta",'Mapa final'!$AC$22="Mayor"),CONCATENATE("R4C",'Mapa final'!$Q$22),"")</f>
        <v/>
      </c>
      <c r="AD9" s="37" t="str">
        <f>IF(AND('Mapa final'!$AA$23="Muy Alta",'Mapa final'!$AC$23="Mayor"),CONCATENATE("R4C",'Mapa final'!$Q$23),"")</f>
        <v/>
      </c>
      <c r="AE9" s="37" t="str">
        <f>IF(AND('Mapa final'!$AA$24="Muy Alta",'Mapa final'!$AC$24="Mayor"),CONCATENATE("R4C",'Mapa final'!$Q$24),"")</f>
        <v/>
      </c>
      <c r="AF9" s="37" t="str">
        <f>IF(AND('Mapa final'!$AA$25="Muy Alta",'Mapa final'!$AC$25="Mayor"),CONCATENATE("R4C",'Mapa final'!$Q$25),"")</f>
        <v/>
      </c>
      <c r="AG9" s="38" t="str">
        <f>IF(AND('Mapa final'!$AA$26="Muy Alta",'Mapa final'!$AC$26="Mayor"),CONCATENATE("R4C",'Mapa final'!$Q$26),"")</f>
        <v/>
      </c>
      <c r="AH9" s="39" t="str">
        <f>IF(AND('Mapa final'!$AA$21="Muy Alta",'Mapa final'!$AC$21="Catastrófico"),CONCATENATE("R4C",'Mapa final'!$Q$21),"")</f>
        <v/>
      </c>
      <c r="AI9" s="40" t="str">
        <f>IF(AND('Mapa final'!$AA$22="Muy Alta",'Mapa final'!$AC$22="Catastrófico"),CONCATENATE("R4C",'Mapa final'!$Q$22),"")</f>
        <v/>
      </c>
      <c r="AJ9" s="40" t="str">
        <f>IF(AND('Mapa final'!$AA$23="Muy Alta",'Mapa final'!$AC$23="Catastrófico"),CONCATENATE("R4C",'Mapa final'!$Q$23),"")</f>
        <v/>
      </c>
      <c r="AK9" s="40" t="str">
        <f>IF(AND('Mapa final'!$AA$24="Muy Alta",'Mapa final'!$AC$24="Catastrófico"),CONCATENATE("R4C",'Mapa final'!$Q$24),"")</f>
        <v/>
      </c>
      <c r="AL9" s="40" t="str">
        <f>IF(AND('Mapa final'!$AA$25="Muy Alta",'Mapa final'!$AC$25="Catastrófico"),CONCATENATE("R4C",'Mapa final'!$Q$25),"")</f>
        <v/>
      </c>
      <c r="AM9" s="41" t="str">
        <f>IF(AND('Mapa final'!$AA$26="Muy Alta",'Mapa final'!$AC$26="Catastrófico"),CONCATENATE("R4C",'Mapa final'!$Q$26),"")</f>
        <v/>
      </c>
      <c r="AN9" s="67"/>
      <c r="AO9" s="399"/>
      <c r="AP9" s="400"/>
      <c r="AQ9" s="400"/>
      <c r="AR9" s="400"/>
      <c r="AS9" s="400"/>
      <c r="AT9" s="401"/>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294"/>
      <c r="C10" s="294"/>
      <c r="D10" s="295"/>
      <c r="E10" s="393"/>
      <c r="F10" s="392"/>
      <c r="G10" s="392"/>
      <c r="H10" s="392"/>
      <c r="I10" s="408"/>
      <c r="J10" s="36" t="str">
        <f>IF(AND('Mapa final'!$AA$27="Muy Alta",'Mapa final'!$AC$27="Leve"),CONCATENATE("R5C",'Mapa final'!$Q$27),"")</f>
        <v/>
      </c>
      <c r="K10" s="37" t="str">
        <f>IF(AND('Mapa final'!$AA$28="Muy Alta",'Mapa final'!$AC$28="Leve"),CONCATENATE("R5C",'Mapa final'!$Q$28),"")</f>
        <v/>
      </c>
      <c r="L10" s="37" t="str">
        <f>IF(AND('Mapa final'!$AA$29="Muy Alta",'Mapa final'!$AC$29="Leve"),CONCATENATE("R5C",'Mapa final'!$Q$29),"")</f>
        <v/>
      </c>
      <c r="M10" s="37" t="str">
        <f>IF(AND('Mapa final'!$AA$30="Muy Alta",'Mapa final'!$AC$30="Leve"),CONCATENATE("R5C",'Mapa final'!$Q$30),"")</f>
        <v/>
      </c>
      <c r="N10" s="37" t="str">
        <f>IF(AND('Mapa final'!$AA$31="Muy Alta",'Mapa final'!$AC$31="Leve"),CONCATENATE("R5C",'Mapa final'!$Q$31),"")</f>
        <v/>
      </c>
      <c r="O10" s="38" t="str">
        <f>IF(AND('Mapa final'!$AA$32="Muy Alta",'Mapa final'!$AC$32="Leve"),CONCATENATE("R5C",'Mapa final'!$Q$32),"")</f>
        <v/>
      </c>
      <c r="P10" s="36" t="str">
        <f>IF(AND('Mapa final'!$AA$27="Muy Alta",'Mapa final'!$AC$27="Menor"),CONCATENATE("R5C",'Mapa final'!$Q$27),"")</f>
        <v/>
      </c>
      <c r="Q10" s="37" t="str">
        <f>IF(AND('Mapa final'!$AA$28="Muy Alta",'Mapa final'!$AC$28="Menor"),CONCATENATE("R5C",'Mapa final'!$Q$28),"")</f>
        <v/>
      </c>
      <c r="R10" s="37" t="str">
        <f>IF(AND('Mapa final'!$AA$29="Muy Alta",'Mapa final'!$AC$29="Menor"),CONCATENATE("R5C",'Mapa final'!$Q$29),"")</f>
        <v/>
      </c>
      <c r="S10" s="37" t="str">
        <f>IF(AND('Mapa final'!$AA$30="Muy Alta",'Mapa final'!$AC$30="Menor"),CONCATENATE("R5C",'Mapa final'!$Q$30),"")</f>
        <v/>
      </c>
      <c r="T10" s="37" t="str">
        <f>IF(AND('Mapa final'!$AA$31="Muy Alta",'Mapa final'!$AC$31="Menor"),CONCATENATE("R5C",'Mapa final'!$Q$31),"")</f>
        <v/>
      </c>
      <c r="U10" s="38" t="str">
        <f>IF(AND('Mapa final'!$AA$32="Muy Alta",'Mapa final'!$AC$32="Menor"),CONCATENATE("R5C",'Mapa final'!$Q$32),"")</f>
        <v/>
      </c>
      <c r="V10" s="36" t="str">
        <f>IF(AND('Mapa final'!$AA$27="Muy Alta",'Mapa final'!$AC$27="Moderado"),CONCATENATE("R5C",'Mapa final'!$Q$27),"")</f>
        <v/>
      </c>
      <c r="W10" s="37" t="str">
        <f>IF(AND('Mapa final'!$AA$28="Muy Alta",'Mapa final'!$AC$28="Moderado"),CONCATENATE("R5C",'Mapa final'!$Q$28),"")</f>
        <v/>
      </c>
      <c r="X10" s="37" t="str">
        <f>IF(AND('Mapa final'!$AA$29="Muy Alta",'Mapa final'!$AC$29="Moderado"),CONCATENATE("R5C",'Mapa final'!$Q$29),"")</f>
        <v/>
      </c>
      <c r="Y10" s="37" t="str">
        <f>IF(AND('Mapa final'!$AA$30="Muy Alta",'Mapa final'!$AC$30="Moderado"),CONCATENATE("R5C",'Mapa final'!$Q$30),"")</f>
        <v/>
      </c>
      <c r="Z10" s="37" t="str">
        <f>IF(AND('Mapa final'!$AA$31="Muy Alta",'Mapa final'!$AC$31="Moderado"),CONCATENATE("R5C",'Mapa final'!$Q$31),"")</f>
        <v/>
      </c>
      <c r="AA10" s="38" t="str">
        <f>IF(AND('Mapa final'!$AA$32="Muy Alta",'Mapa final'!$AC$32="Moderado"),CONCATENATE("R5C",'Mapa final'!$Q$32),"")</f>
        <v/>
      </c>
      <c r="AB10" s="36" t="str">
        <f>IF(AND('Mapa final'!$AA$27="Muy Alta",'Mapa final'!$AC$27="Mayor"),CONCATENATE("R5C",'Mapa final'!$Q$27),"")</f>
        <v/>
      </c>
      <c r="AC10" s="37" t="str">
        <f>IF(AND('Mapa final'!$AA$28="Muy Alta",'Mapa final'!$AC$28="Mayor"),CONCATENATE("R5C",'Mapa final'!$Q$28),"")</f>
        <v/>
      </c>
      <c r="AD10" s="37" t="str">
        <f>IF(AND('Mapa final'!$AA$29="Muy Alta",'Mapa final'!$AC$29="Mayor"),CONCATENATE("R5C",'Mapa final'!$Q$29),"")</f>
        <v/>
      </c>
      <c r="AE10" s="37" t="str">
        <f>IF(AND('Mapa final'!$AA$30="Muy Alta",'Mapa final'!$AC$30="Mayor"),CONCATENATE("R5C",'Mapa final'!$Q$30),"")</f>
        <v/>
      </c>
      <c r="AF10" s="37" t="str">
        <f>IF(AND('Mapa final'!$AA$31="Muy Alta",'Mapa final'!$AC$31="Mayor"),CONCATENATE("R5C",'Mapa final'!$Q$31),"")</f>
        <v/>
      </c>
      <c r="AG10" s="38" t="str">
        <f>IF(AND('Mapa final'!$AA$32="Muy Alta",'Mapa final'!$AC$32="Mayor"),CONCATENATE("R5C",'Mapa final'!$Q$32),"")</f>
        <v/>
      </c>
      <c r="AH10" s="39" t="str">
        <f>IF(AND('Mapa final'!$AA$27="Muy Alta",'Mapa final'!$AC$27="Catastrófico"),CONCATENATE("R5C",'Mapa final'!$Q$27),"")</f>
        <v/>
      </c>
      <c r="AI10" s="40" t="str">
        <f>IF(AND('Mapa final'!$AA$28="Muy Alta",'Mapa final'!$AC$28="Catastrófico"),CONCATENATE("R5C",'Mapa final'!$Q$28),"")</f>
        <v/>
      </c>
      <c r="AJ10" s="40" t="str">
        <f>IF(AND('Mapa final'!$AA$29="Muy Alta",'Mapa final'!$AC$29="Catastrófico"),CONCATENATE("R5C",'Mapa final'!$Q$29),"")</f>
        <v/>
      </c>
      <c r="AK10" s="40" t="str">
        <f>IF(AND('Mapa final'!$AA$30="Muy Alta",'Mapa final'!$AC$30="Catastrófico"),CONCATENATE("R5C",'Mapa final'!$Q$30),"")</f>
        <v/>
      </c>
      <c r="AL10" s="40" t="str">
        <f>IF(AND('Mapa final'!$AA$31="Muy Alta",'Mapa final'!$AC$31="Catastrófico"),CONCATENATE("R5C",'Mapa final'!$Q$31),"")</f>
        <v/>
      </c>
      <c r="AM10" s="41" t="str">
        <f>IF(AND('Mapa final'!$AA$32="Muy Alta",'Mapa final'!$AC$32="Catastrófico"),CONCATENATE("R5C",'Mapa final'!$Q$32),"")</f>
        <v/>
      </c>
      <c r="AN10" s="67"/>
      <c r="AO10" s="399"/>
      <c r="AP10" s="400"/>
      <c r="AQ10" s="400"/>
      <c r="AR10" s="400"/>
      <c r="AS10" s="400"/>
      <c r="AT10" s="401"/>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294"/>
      <c r="C11" s="294"/>
      <c r="D11" s="295"/>
      <c r="E11" s="393"/>
      <c r="F11" s="392"/>
      <c r="G11" s="392"/>
      <c r="H11" s="392"/>
      <c r="I11" s="408"/>
      <c r="J11" s="36" t="str">
        <f>IF(AND('Mapa final'!$AA$33="Muy Alta",'Mapa final'!$AC$33="Leve"),CONCATENATE("R6C",'Mapa final'!$Q$33),"")</f>
        <v/>
      </c>
      <c r="K11" s="37" t="str">
        <f>IF(AND('Mapa final'!$AA$34="Muy Alta",'Mapa final'!$AC$34="Leve"),CONCATENATE("R6C",'Mapa final'!$Q$34),"")</f>
        <v/>
      </c>
      <c r="L11" s="37" t="str">
        <f>IF(AND('Mapa final'!$AA$35="Muy Alta",'Mapa final'!$AC$35="Leve"),CONCATENATE("R6C",'Mapa final'!$Q$35),"")</f>
        <v/>
      </c>
      <c r="M11" s="37" t="str">
        <f>IF(AND('Mapa final'!$AA$36="Muy Alta",'Mapa final'!$AC$36="Leve"),CONCATENATE("R6C",'Mapa final'!$Q$36),"")</f>
        <v/>
      </c>
      <c r="N11" s="37" t="str">
        <f>IF(AND('Mapa final'!$AA$37="Muy Alta",'Mapa final'!$AC$37="Leve"),CONCATENATE("R6C",'Mapa final'!$Q$37),"")</f>
        <v/>
      </c>
      <c r="O11" s="38" t="str">
        <f>IF(AND('Mapa final'!$AA$38="Muy Alta",'Mapa final'!$AC$38="Leve"),CONCATENATE("R6C",'Mapa final'!$Q$38),"")</f>
        <v/>
      </c>
      <c r="P11" s="36" t="str">
        <f>IF(AND('Mapa final'!$AA$33="Muy Alta",'Mapa final'!$AC$33="Menor"),CONCATENATE("R6C",'Mapa final'!$Q$33),"")</f>
        <v/>
      </c>
      <c r="Q11" s="37" t="str">
        <f>IF(AND('Mapa final'!$AA$34="Muy Alta",'Mapa final'!$AC$34="Menor"),CONCATENATE("R6C",'Mapa final'!$Q$34),"")</f>
        <v/>
      </c>
      <c r="R11" s="37" t="str">
        <f>IF(AND('Mapa final'!$AA$35="Muy Alta",'Mapa final'!$AC$35="Menor"),CONCATENATE("R6C",'Mapa final'!$Q$35),"")</f>
        <v/>
      </c>
      <c r="S11" s="37" t="str">
        <f>IF(AND('Mapa final'!$AA$36="Muy Alta",'Mapa final'!$AC$36="Menor"),CONCATENATE("R6C",'Mapa final'!$Q$36),"")</f>
        <v/>
      </c>
      <c r="T11" s="37" t="str">
        <f>IF(AND('Mapa final'!$AA$37="Muy Alta",'Mapa final'!$AC$37="Menor"),CONCATENATE("R6C",'Mapa final'!$Q$37),"")</f>
        <v/>
      </c>
      <c r="U11" s="38" t="str">
        <f>IF(AND('Mapa final'!$AA$38="Muy Alta",'Mapa final'!$AC$38="Menor"),CONCATENATE("R6C",'Mapa final'!$Q$38),"")</f>
        <v/>
      </c>
      <c r="V11" s="36" t="str">
        <f>IF(AND('Mapa final'!$AA$33="Muy Alta",'Mapa final'!$AC$33="Moderado"),CONCATENATE("R6C",'Mapa final'!$Q$33),"")</f>
        <v/>
      </c>
      <c r="W11" s="37" t="str">
        <f>IF(AND('Mapa final'!$AA$34="Muy Alta",'Mapa final'!$AC$34="Moderado"),CONCATENATE("R6C",'Mapa final'!$Q$34),"")</f>
        <v/>
      </c>
      <c r="X11" s="37" t="str">
        <f>IF(AND('Mapa final'!$AA$35="Muy Alta",'Mapa final'!$AC$35="Moderado"),CONCATENATE("R6C",'Mapa final'!$Q$35),"")</f>
        <v/>
      </c>
      <c r="Y11" s="37" t="str">
        <f>IF(AND('Mapa final'!$AA$36="Muy Alta",'Mapa final'!$AC$36="Moderado"),CONCATENATE("R6C",'Mapa final'!$Q$36),"")</f>
        <v/>
      </c>
      <c r="Z11" s="37" t="str">
        <f>IF(AND('Mapa final'!$AA$37="Muy Alta",'Mapa final'!$AC$37="Moderado"),CONCATENATE("R6C",'Mapa final'!$Q$37),"")</f>
        <v/>
      </c>
      <c r="AA11" s="38" t="str">
        <f>IF(AND('Mapa final'!$AA$38="Muy Alta",'Mapa final'!$AC$38="Moderado"),CONCATENATE("R6C",'Mapa final'!$Q$38),"")</f>
        <v/>
      </c>
      <c r="AB11" s="36" t="str">
        <f>IF(AND('Mapa final'!$AA$33="Muy Alta",'Mapa final'!$AC$33="Mayor"),CONCATENATE("R6C",'Mapa final'!$Q$33),"")</f>
        <v/>
      </c>
      <c r="AC11" s="37" t="str">
        <f>IF(AND('Mapa final'!$AA$34="Muy Alta",'Mapa final'!$AC$34="Mayor"),CONCATENATE("R6C",'Mapa final'!$Q$34),"")</f>
        <v/>
      </c>
      <c r="AD11" s="37" t="str">
        <f>IF(AND('Mapa final'!$AA$35="Muy Alta",'Mapa final'!$AC$35="Mayor"),CONCATENATE("R6C",'Mapa final'!$Q$35),"")</f>
        <v/>
      </c>
      <c r="AE11" s="37" t="str">
        <f>IF(AND('Mapa final'!$AA$36="Muy Alta",'Mapa final'!$AC$36="Mayor"),CONCATENATE("R6C",'Mapa final'!$Q$36),"")</f>
        <v/>
      </c>
      <c r="AF11" s="37" t="str">
        <f>IF(AND('Mapa final'!$AA$37="Muy Alta",'Mapa final'!$AC$37="Mayor"),CONCATENATE("R6C",'Mapa final'!$Q$37),"")</f>
        <v/>
      </c>
      <c r="AG11" s="38" t="str">
        <f>IF(AND('Mapa final'!$AA$38="Muy Alta",'Mapa final'!$AC$38="Mayor"),CONCATENATE("R6C",'Mapa final'!$Q$38),"")</f>
        <v/>
      </c>
      <c r="AH11" s="39" t="str">
        <f>IF(AND('Mapa final'!$AA$33="Muy Alta",'Mapa final'!$AC$33="Catastrófico"),CONCATENATE("R6C",'Mapa final'!$Q$33),"")</f>
        <v/>
      </c>
      <c r="AI11" s="40" t="str">
        <f>IF(AND('Mapa final'!$AA$34="Muy Alta",'Mapa final'!$AC$34="Catastrófico"),CONCATENATE("R6C",'Mapa final'!$Q$34),"")</f>
        <v/>
      </c>
      <c r="AJ11" s="40" t="str">
        <f>IF(AND('Mapa final'!$AA$35="Muy Alta",'Mapa final'!$AC$35="Catastrófico"),CONCATENATE("R6C",'Mapa final'!$Q$35),"")</f>
        <v/>
      </c>
      <c r="AK11" s="40" t="str">
        <f>IF(AND('Mapa final'!$AA$36="Muy Alta",'Mapa final'!$AC$36="Catastrófico"),CONCATENATE("R6C",'Mapa final'!$Q$36),"")</f>
        <v/>
      </c>
      <c r="AL11" s="40" t="str">
        <f>IF(AND('Mapa final'!$AA$37="Muy Alta",'Mapa final'!$AC$37="Catastrófico"),CONCATENATE("R6C",'Mapa final'!$Q$37),"")</f>
        <v/>
      </c>
      <c r="AM11" s="41" t="str">
        <f>IF(AND('Mapa final'!$AA$38="Muy Alta",'Mapa final'!$AC$38="Catastrófico"),CONCATENATE("R6C",'Mapa final'!$Q$38),"")</f>
        <v/>
      </c>
      <c r="AN11" s="67"/>
      <c r="AO11" s="399"/>
      <c r="AP11" s="400"/>
      <c r="AQ11" s="400"/>
      <c r="AR11" s="400"/>
      <c r="AS11" s="400"/>
      <c r="AT11" s="401"/>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294"/>
      <c r="C12" s="294"/>
      <c r="D12" s="295"/>
      <c r="E12" s="393"/>
      <c r="F12" s="392"/>
      <c r="G12" s="392"/>
      <c r="H12" s="392"/>
      <c r="I12" s="408"/>
      <c r="J12" s="36" t="str">
        <f>IF(AND('Mapa final'!$AA$39="Muy Alta",'Mapa final'!$AC$39="Leve"),CONCATENATE("R7C",'Mapa final'!$Q$39),"")</f>
        <v/>
      </c>
      <c r="K12" s="37" t="str">
        <f>IF(AND('Mapa final'!$AA$40="Muy Alta",'Mapa final'!$AC$40="Leve"),CONCATENATE("R7C",'Mapa final'!$Q$40),"")</f>
        <v/>
      </c>
      <c r="L12" s="37" t="str">
        <f>IF(AND('Mapa final'!$AA$41="Muy Alta",'Mapa final'!$AC$41="Leve"),CONCATENATE("R7C",'Mapa final'!$Q$41),"")</f>
        <v/>
      </c>
      <c r="M12" s="37" t="str">
        <f>IF(AND('Mapa final'!$AA$42="Muy Alta",'Mapa final'!$AC$42="Leve"),CONCATENATE("R7C",'Mapa final'!$Q$42),"")</f>
        <v/>
      </c>
      <c r="N12" s="37" t="str">
        <f>IF(AND('Mapa final'!$AA$43="Muy Alta",'Mapa final'!$AC$43="Leve"),CONCATENATE("R7C",'Mapa final'!$Q$43),"")</f>
        <v/>
      </c>
      <c r="O12" s="38" t="str">
        <f>IF(AND('Mapa final'!$AA$44="Muy Alta",'Mapa final'!$AC$44="Leve"),CONCATENATE("R7C",'Mapa final'!$Q$44),"")</f>
        <v/>
      </c>
      <c r="P12" s="36" t="str">
        <f>IF(AND('Mapa final'!$AA$39="Muy Alta",'Mapa final'!$AC$39="Menor"),CONCATENATE("R7C",'Mapa final'!$Q$39),"")</f>
        <v/>
      </c>
      <c r="Q12" s="37" t="str">
        <f>IF(AND('Mapa final'!$AA$40="Muy Alta",'Mapa final'!$AC$40="Menor"),CONCATENATE("R7C",'Mapa final'!$Q$40),"")</f>
        <v/>
      </c>
      <c r="R12" s="37" t="str">
        <f>IF(AND('Mapa final'!$AA$41="Muy Alta",'Mapa final'!$AC$41="Menor"),CONCATENATE("R7C",'Mapa final'!$Q$41),"")</f>
        <v/>
      </c>
      <c r="S12" s="37" t="str">
        <f>IF(AND('Mapa final'!$AA$42="Muy Alta",'Mapa final'!$AC$42="Menor"),CONCATENATE("R7C",'Mapa final'!$Q$42),"")</f>
        <v/>
      </c>
      <c r="T12" s="37" t="str">
        <f>IF(AND('Mapa final'!$AA$43="Muy Alta",'Mapa final'!$AC$43="Menor"),CONCATENATE("R7C",'Mapa final'!$Q$43),"")</f>
        <v/>
      </c>
      <c r="U12" s="38" t="str">
        <f>IF(AND('Mapa final'!$AA$44="Muy Alta",'Mapa final'!$AC$44="Menor"),CONCATENATE("R7C",'Mapa final'!$Q$44),"")</f>
        <v/>
      </c>
      <c r="V12" s="36" t="str">
        <f>IF(AND('Mapa final'!$AA$39="Muy Alta",'Mapa final'!$AC$39="Moderado"),CONCATENATE("R7C",'Mapa final'!$Q$39),"")</f>
        <v/>
      </c>
      <c r="W12" s="37" t="str">
        <f>IF(AND('Mapa final'!$AA$40="Muy Alta",'Mapa final'!$AC$40="Moderado"),CONCATENATE("R7C",'Mapa final'!$Q$40),"")</f>
        <v/>
      </c>
      <c r="X12" s="37" t="str">
        <f>IF(AND('Mapa final'!$AA$41="Muy Alta",'Mapa final'!$AC$41="Moderado"),CONCATENATE("R7C",'Mapa final'!$Q$41),"")</f>
        <v/>
      </c>
      <c r="Y12" s="37" t="str">
        <f>IF(AND('Mapa final'!$AA$42="Muy Alta",'Mapa final'!$AC$42="Moderado"),CONCATENATE("R7C",'Mapa final'!$Q$42),"")</f>
        <v/>
      </c>
      <c r="Z12" s="37" t="str">
        <f>IF(AND('Mapa final'!$AA$43="Muy Alta",'Mapa final'!$AC$43="Moderado"),CONCATENATE("R7C",'Mapa final'!$Q$43),"")</f>
        <v/>
      </c>
      <c r="AA12" s="38" t="str">
        <f>IF(AND('Mapa final'!$AA$44="Muy Alta",'Mapa final'!$AC$44="Moderado"),CONCATENATE("R7C",'Mapa final'!$Q$44),"")</f>
        <v/>
      </c>
      <c r="AB12" s="36" t="str">
        <f>IF(AND('Mapa final'!$AA$39="Muy Alta",'Mapa final'!$AC$39="Mayor"),CONCATENATE("R7C",'Mapa final'!$Q$39),"")</f>
        <v/>
      </c>
      <c r="AC12" s="37" t="str">
        <f>IF(AND('Mapa final'!$AA$40="Muy Alta",'Mapa final'!$AC$40="Mayor"),CONCATENATE("R7C",'Mapa final'!$Q$40),"")</f>
        <v/>
      </c>
      <c r="AD12" s="37" t="str">
        <f>IF(AND('Mapa final'!$AA$41="Muy Alta",'Mapa final'!$AC$41="Mayor"),CONCATENATE("R7C",'Mapa final'!$Q$41),"")</f>
        <v/>
      </c>
      <c r="AE12" s="37" t="str">
        <f>IF(AND('Mapa final'!$AA$42="Muy Alta",'Mapa final'!$AC$42="Mayor"),CONCATENATE("R7C",'Mapa final'!$Q$42),"")</f>
        <v/>
      </c>
      <c r="AF12" s="37" t="str">
        <f>IF(AND('Mapa final'!$AA$43="Muy Alta",'Mapa final'!$AC$43="Mayor"),CONCATENATE("R7C",'Mapa final'!$Q$43),"")</f>
        <v/>
      </c>
      <c r="AG12" s="38" t="str">
        <f>IF(AND('Mapa final'!$AA$44="Muy Alta",'Mapa final'!$AC$44="Mayor"),CONCATENATE("R7C",'Mapa final'!$Q$44),"")</f>
        <v/>
      </c>
      <c r="AH12" s="39" t="str">
        <f>IF(AND('Mapa final'!$AA$39="Muy Alta",'Mapa final'!$AC$39="Catastrófico"),CONCATENATE("R7C",'Mapa final'!$Q$39),"")</f>
        <v/>
      </c>
      <c r="AI12" s="40" t="str">
        <f>IF(AND('Mapa final'!$AA$40="Muy Alta",'Mapa final'!$AC$40="Catastrófico"),CONCATENATE("R7C",'Mapa final'!$Q$40),"")</f>
        <v/>
      </c>
      <c r="AJ12" s="40" t="str">
        <f>IF(AND('Mapa final'!$AA$41="Muy Alta",'Mapa final'!$AC$41="Catastrófico"),CONCATENATE("R7C",'Mapa final'!$Q$41),"")</f>
        <v/>
      </c>
      <c r="AK12" s="40" t="str">
        <f>IF(AND('Mapa final'!$AA$42="Muy Alta",'Mapa final'!$AC$42="Catastrófico"),CONCATENATE("R7C",'Mapa final'!$Q$42),"")</f>
        <v/>
      </c>
      <c r="AL12" s="40" t="str">
        <f>IF(AND('Mapa final'!$AA$43="Muy Alta",'Mapa final'!$AC$43="Catastrófico"),CONCATENATE("R7C",'Mapa final'!$Q$43),"")</f>
        <v/>
      </c>
      <c r="AM12" s="41" t="str">
        <f>IF(AND('Mapa final'!$AA$44="Muy Alta",'Mapa final'!$AC$44="Catastrófico"),CONCATENATE("R7C",'Mapa final'!$Q$44),"")</f>
        <v/>
      </c>
      <c r="AN12" s="67"/>
      <c r="AO12" s="399"/>
      <c r="AP12" s="400"/>
      <c r="AQ12" s="400"/>
      <c r="AR12" s="400"/>
      <c r="AS12" s="400"/>
      <c r="AT12" s="401"/>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294"/>
      <c r="C13" s="294"/>
      <c r="D13" s="295"/>
      <c r="E13" s="393"/>
      <c r="F13" s="392"/>
      <c r="G13" s="392"/>
      <c r="H13" s="392"/>
      <c r="I13" s="408"/>
      <c r="J13" s="36" t="str">
        <f>IF(AND('Mapa final'!$AA$45="Muy Alta",'Mapa final'!$AC$45="Leve"),CONCATENATE("R8C",'Mapa final'!$Q$45),"")</f>
        <v/>
      </c>
      <c r="K13" s="37" t="str">
        <f>IF(AND('Mapa final'!$AA$46="Muy Alta",'Mapa final'!$AC$46="Leve"),CONCATENATE("R8C",'Mapa final'!$Q$46),"")</f>
        <v/>
      </c>
      <c r="L13" s="37" t="str">
        <f>IF(AND('Mapa final'!$AA$47="Muy Alta",'Mapa final'!$AC$47="Leve"),CONCATENATE("R8C",'Mapa final'!$Q$47),"")</f>
        <v/>
      </c>
      <c r="M13" s="37" t="str">
        <f>IF(AND('Mapa final'!$AA$48="Muy Alta",'Mapa final'!$AC$48="Leve"),CONCATENATE("R8C",'Mapa final'!$Q$48),"")</f>
        <v/>
      </c>
      <c r="N13" s="37" t="str">
        <f>IF(AND('Mapa final'!$AA$49="Muy Alta",'Mapa final'!$AC$49="Leve"),CONCATENATE("R8C",'Mapa final'!$Q$49),"")</f>
        <v/>
      </c>
      <c r="O13" s="38" t="str">
        <f>IF(AND('Mapa final'!$AA$50="Muy Alta",'Mapa final'!$AC$50="Leve"),CONCATENATE("R8C",'Mapa final'!$Q$50),"")</f>
        <v/>
      </c>
      <c r="P13" s="36" t="str">
        <f>IF(AND('Mapa final'!$AA$45="Muy Alta",'Mapa final'!$AC$45="Menor"),CONCATENATE("R8C",'Mapa final'!$Q$45),"")</f>
        <v/>
      </c>
      <c r="Q13" s="37" t="str">
        <f>IF(AND('Mapa final'!$AA$46="Muy Alta",'Mapa final'!$AC$46="Menor"),CONCATENATE("R8C",'Mapa final'!$Q$46),"")</f>
        <v/>
      </c>
      <c r="R13" s="37" t="str">
        <f>IF(AND('Mapa final'!$AA$47="Muy Alta",'Mapa final'!$AC$47="Menor"),CONCATENATE("R8C",'Mapa final'!$Q$47),"")</f>
        <v/>
      </c>
      <c r="S13" s="37" t="str">
        <f>IF(AND('Mapa final'!$AA$48="Muy Alta",'Mapa final'!$AC$48="Menor"),CONCATENATE("R8C",'Mapa final'!$Q$48),"")</f>
        <v/>
      </c>
      <c r="T13" s="37" t="str">
        <f>IF(AND('Mapa final'!$AA$49="Muy Alta",'Mapa final'!$AC$49="Menor"),CONCATENATE("R8C",'Mapa final'!$Q$49),"")</f>
        <v/>
      </c>
      <c r="U13" s="38" t="str">
        <f>IF(AND('Mapa final'!$AA$50="Muy Alta",'Mapa final'!$AC$50="Menor"),CONCATENATE("R8C",'Mapa final'!$Q$50),"")</f>
        <v/>
      </c>
      <c r="V13" s="36" t="str">
        <f>IF(AND('Mapa final'!$AA$45="Muy Alta",'Mapa final'!$AC$45="Moderado"),CONCATENATE("R8C",'Mapa final'!$Q$45),"")</f>
        <v/>
      </c>
      <c r="W13" s="37" t="str">
        <f>IF(AND('Mapa final'!$AA$46="Muy Alta",'Mapa final'!$AC$46="Moderado"),CONCATENATE("R8C",'Mapa final'!$Q$46),"")</f>
        <v/>
      </c>
      <c r="X13" s="37" t="str">
        <f>IF(AND('Mapa final'!$AA$47="Muy Alta",'Mapa final'!$AC$47="Moderado"),CONCATENATE("R8C",'Mapa final'!$Q$47),"")</f>
        <v/>
      </c>
      <c r="Y13" s="37" t="str">
        <f>IF(AND('Mapa final'!$AA$48="Muy Alta",'Mapa final'!$AC$48="Moderado"),CONCATENATE("R8C",'Mapa final'!$Q$48),"")</f>
        <v/>
      </c>
      <c r="Z13" s="37" t="str">
        <f>IF(AND('Mapa final'!$AA$49="Muy Alta",'Mapa final'!$AC$49="Moderado"),CONCATENATE("R8C",'Mapa final'!$Q$49),"")</f>
        <v/>
      </c>
      <c r="AA13" s="38" t="str">
        <f>IF(AND('Mapa final'!$AA$50="Muy Alta",'Mapa final'!$AC$50="Moderado"),CONCATENATE("R8C",'Mapa final'!$Q$50),"")</f>
        <v/>
      </c>
      <c r="AB13" s="36" t="str">
        <f>IF(AND('Mapa final'!$AA$45="Muy Alta",'Mapa final'!$AC$45="Mayor"),CONCATENATE("R8C",'Mapa final'!$Q$45),"")</f>
        <v/>
      </c>
      <c r="AC13" s="37" t="str">
        <f>IF(AND('Mapa final'!$AA$46="Muy Alta",'Mapa final'!$AC$46="Mayor"),CONCATENATE("R8C",'Mapa final'!$Q$46),"")</f>
        <v/>
      </c>
      <c r="AD13" s="37" t="str">
        <f>IF(AND('Mapa final'!$AA$47="Muy Alta",'Mapa final'!$AC$47="Mayor"),CONCATENATE("R8C",'Mapa final'!$Q$47),"")</f>
        <v/>
      </c>
      <c r="AE13" s="37" t="str">
        <f>IF(AND('Mapa final'!$AA$48="Muy Alta",'Mapa final'!$AC$48="Mayor"),CONCATENATE("R8C",'Mapa final'!$Q$48),"")</f>
        <v/>
      </c>
      <c r="AF13" s="37" t="str">
        <f>IF(AND('Mapa final'!$AA$49="Muy Alta",'Mapa final'!$AC$49="Mayor"),CONCATENATE("R8C",'Mapa final'!$Q$49),"")</f>
        <v/>
      </c>
      <c r="AG13" s="38" t="str">
        <f>IF(AND('Mapa final'!$AA$50="Muy Alta",'Mapa final'!$AC$50="Mayor"),CONCATENATE("R8C",'Mapa final'!$Q$50),"")</f>
        <v/>
      </c>
      <c r="AH13" s="39" t="str">
        <f>IF(AND('Mapa final'!$AA$45="Muy Alta",'Mapa final'!$AC$45="Catastrófico"),CONCATENATE("R8C",'Mapa final'!$Q$45),"")</f>
        <v/>
      </c>
      <c r="AI13" s="40" t="str">
        <f>IF(AND('Mapa final'!$AA$46="Muy Alta",'Mapa final'!$AC$46="Catastrófico"),CONCATENATE("R8C",'Mapa final'!$Q$46),"")</f>
        <v/>
      </c>
      <c r="AJ13" s="40" t="str">
        <f>IF(AND('Mapa final'!$AA$47="Muy Alta",'Mapa final'!$AC$47="Catastrófico"),CONCATENATE("R8C",'Mapa final'!$Q$47),"")</f>
        <v/>
      </c>
      <c r="AK13" s="40" t="str">
        <f>IF(AND('Mapa final'!$AA$48="Muy Alta",'Mapa final'!$AC$48="Catastrófico"),CONCATENATE("R8C",'Mapa final'!$Q$48),"")</f>
        <v/>
      </c>
      <c r="AL13" s="40" t="str">
        <f>IF(AND('Mapa final'!$AA$49="Muy Alta",'Mapa final'!$AC$49="Catastrófico"),CONCATENATE("R8C",'Mapa final'!$Q$49),"")</f>
        <v/>
      </c>
      <c r="AM13" s="41" t="str">
        <f>IF(AND('Mapa final'!$AA$50="Muy Alta",'Mapa final'!$AC$50="Catastrófico"),CONCATENATE("R8C",'Mapa final'!$Q$50),"")</f>
        <v/>
      </c>
      <c r="AN13" s="67"/>
      <c r="AO13" s="399"/>
      <c r="AP13" s="400"/>
      <c r="AQ13" s="400"/>
      <c r="AR13" s="400"/>
      <c r="AS13" s="400"/>
      <c r="AT13" s="40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294"/>
      <c r="C14" s="294"/>
      <c r="D14" s="295"/>
      <c r="E14" s="393"/>
      <c r="F14" s="392"/>
      <c r="G14" s="392"/>
      <c r="H14" s="392"/>
      <c r="I14" s="408"/>
      <c r="J14" s="36" t="str">
        <f>IF(AND('Mapa final'!$AA$51="Muy Alta",'Mapa final'!$AC$51="Leve"),CONCATENATE("R9C",'Mapa final'!$Q$51),"")</f>
        <v/>
      </c>
      <c r="K14" s="37" t="str">
        <f>IF(AND('Mapa final'!$AA$52="Muy Alta",'Mapa final'!$AC$52="Leve"),CONCATENATE("R9C",'Mapa final'!$Q$52),"")</f>
        <v/>
      </c>
      <c r="L14" s="37" t="str">
        <f>IF(AND('Mapa final'!$AA$53="Muy Alta",'Mapa final'!$AC$53="Leve"),CONCATENATE("R9C",'Mapa final'!$Q$53),"")</f>
        <v/>
      </c>
      <c r="M14" s="37" t="str">
        <f>IF(AND('Mapa final'!$AA$54="Muy Alta",'Mapa final'!$AC$54="Leve"),CONCATENATE("R9C",'Mapa final'!$Q$54),"")</f>
        <v/>
      </c>
      <c r="N14" s="37" t="str">
        <f>IF(AND('Mapa final'!$AA$55="Muy Alta",'Mapa final'!$AC$55="Leve"),CONCATENATE("R9C",'Mapa final'!$Q$55),"")</f>
        <v/>
      </c>
      <c r="O14" s="38" t="str">
        <f>IF(AND('Mapa final'!$AA$56="Muy Alta",'Mapa final'!$AC$56="Leve"),CONCATENATE("R9C",'Mapa final'!$Q$56),"")</f>
        <v/>
      </c>
      <c r="P14" s="36" t="str">
        <f>IF(AND('Mapa final'!$AA$51="Muy Alta",'Mapa final'!$AC$51="Menor"),CONCATENATE("R9C",'Mapa final'!$Q$51),"")</f>
        <v/>
      </c>
      <c r="Q14" s="37" t="str">
        <f>IF(AND('Mapa final'!$AA$52="Muy Alta",'Mapa final'!$AC$52="Menor"),CONCATENATE("R9C",'Mapa final'!$Q$52),"")</f>
        <v/>
      </c>
      <c r="R14" s="37" t="str">
        <f>IF(AND('Mapa final'!$AA$53="Muy Alta",'Mapa final'!$AC$53="Menor"),CONCATENATE("R9C",'Mapa final'!$Q$53),"")</f>
        <v/>
      </c>
      <c r="S14" s="37" t="str">
        <f>IF(AND('Mapa final'!$AA$54="Muy Alta",'Mapa final'!$AC$54="Menor"),CONCATENATE("R9C",'Mapa final'!$Q$54),"")</f>
        <v/>
      </c>
      <c r="T14" s="37" t="str">
        <f>IF(AND('Mapa final'!$AA$55="Muy Alta",'Mapa final'!$AC$55="Menor"),CONCATENATE("R9C",'Mapa final'!$Q$55),"")</f>
        <v/>
      </c>
      <c r="U14" s="38" t="str">
        <f>IF(AND('Mapa final'!$AA$56="Muy Alta",'Mapa final'!$AC$56="Menor"),CONCATENATE("R9C",'Mapa final'!$Q$56),"")</f>
        <v/>
      </c>
      <c r="V14" s="36" t="str">
        <f>IF(AND('Mapa final'!$AA$51="Muy Alta",'Mapa final'!$AC$51="Moderado"),CONCATENATE("R9C",'Mapa final'!$Q$51),"")</f>
        <v/>
      </c>
      <c r="W14" s="37" t="str">
        <f>IF(AND('Mapa final'!$AA$52="Muy Alta",'Mapa final'!$AC$52="Moderado"),CONCATENATE("R9C",'Mapa final'!$Q$52),"")</f>
        <v/>
      </c>
      <c r="X14" s="37" t="str">
        <f>IF(AND('Mapa final'!$AA$53="Muy Alta",'Mapa final'!$AC$53="Moderado"),CONCATENATE("R9C",'Mapa final'!$Q$53),"")</f>
        <v/>
      </c>
      <c r="Y14" s="37" t="str">
        <f>IF(AND('Mapa final'!$AA$54="Muy Alta",'Mapa final'!$AC$54="Moderado"),CONCATENATE("R9C",'Mapa final'!$Q$54),"")</f>
        <v/>
      </c>
      <c r="Z14" s="37" t="str">
        <f>IF(AND('Mapa final'!$AA$55="Muy Alta",'Mapa final'!$AC$55="Moderado"),CONCATENATE("R9C",'Mapa final'!$Q$55),"")</f>
        <v/>
      </c>
      <c r="AA14" s="38" t="str">
        <f>IF(AND('Mapa final'!$AA$56="Muy Alta",'Mapa final'!$AC$56="Moderado"),CONCATENATE("R9C",'Mapa final'!$Q$56),"")</f>
        <v/>
      </c>
      <c r="AB14" s="36" t="str">
        <f>IF(AND('Mapa final'!$AA$51="Muy Alta",'Mapa final'!$AC$51="Mayor"),CONCATENATE("R9C",'Mapa final'!$Q$51),"")</f>
        <v/>
      </c>
      <c r="AC14" s="37" t="str">
        <f>IF(AND('Mapa final'!$AA$52="Muy Alta",'Mapa final'!$AC$52="Mayor"),CONCATENATE("R9C",'Mapa final'!$Q$52),"")</f>
        <v/>
      </c>
      <c r="AD14" s="37" t="str">
        <f>IF(AND('Mapa final'!$AA$53="Muy Alta",'Mapa final'!$AC$53="Mayor"),CONCATENATE("R9C",'Mapa final'!$Q$53),"")</f>
        <v/>
      </c>
      <c r="AE14" s="37" t="str">
        <f>IF(AND('Mapa final'!$AA$54="Muy Alta",'Mapa final'!$AC$54="Mayor"),CONCATENATE("R9C",'Mapa final'!$Q$54),"")</f>
        <v/>
      </c>
      <c r="AF14" s="37" t="str">
        <f>IF(AND('Mapa final'!$AA$55="Muy Alta",'Mapa final'!$AC$55="Mayor"),CONCATENATE("R9C",'Mapa final'!$Q$55),"")</f>
        <v/>
      </c>
      <c r="AG14" s="38" t="str">
        <f>IF(AND('Mapa final'!$AA$56="Muy Alta",'Mapa final'!$AC$56="Mayor"),CONCATENATE("R9C",'Mapa final'!$Q$56),"")</f>
        <v/>
      </c>
      <c r="AH14" s="39" t="str">
        <f>IF(AND('Mapa final'!$AA$51="Muy Alta",'Mapa final'!$AC$51="Catastrófico"),CONCATENATE("R9C",'Mapa final'!$Q$51),"")</f>
        <v/>
      </c>
      <c r="AI14" s="40" t="str">
        <f>IF(AND('Mapa final'!$AA$52="Muy Alta",'Mapa final'!$AC$52="Catastrófico"),CONCATENATE("R9C",'Mapa final'!$Q$52),"")</f>
        <v/>
      </c>
      <c r="AJ14" s="40" t="str">
        <f>IF(AND('Mapa final'!$AA$53="Muy Alta",'Mapa final'!$AC$53="Catastrófico"),CONCATENATE("R9C",'Mapa final'!$Q$53),"")</f>
        <v/>
      </c>
      <c r="AK14" s="40" t="str">
        <f>IF(AND('Mapa final'!$AA$54="Muy Alta",'Mapa final'!$AC$54="Catastrófico"),CONCATENATE("R9C",'Mapa final'!$Q$54),"")</f>
        <v/>
      </c>
      <c r="AL14" s="40" t="str">
        <f>IF(AND('Mapa final'!$AA$55="Muy Alta",'Mapa final'!$AC$55="Catastrófico"),CONCATENATE("R9C",'Mapa final'!$Q$55),"")</f>
        <v/>
      </c>
      <c r="AM14" s="41" t="str">
        <f>IF(AND('Mapa final'!$AA$56="Muy Alta",'Mapa final'!$AC$56="Catastrófico"),CONCATENATE("R9C",'Mapa final'!$Q$56),"")</f>
        <v/>
      </c>
      <c r="AN14" s="67"/>
      <c r="AO14" s="399"/>
      <c r="AP14" s="400"/>
      <c r="AQ14" s="400"/>
      <c r="AR14" s="400"/>
      <c r="AS14" s="400"/>
      <c r="AT14" s="40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294"/>
      <c r="C15" s="294"/>
      <c r="D15" s="295"/>
      <c r="E15" s="394"/>
      <c r="F15" s="395"/>
      <c r="G15" s="395"/>
      <c r="H15" s="395"/>
      <c r="I15" s="409"/>
      <c r="J15" s="42" t="str">
        <f>IF(AND('Mapa final'!$AA$57="Muy Alta",'Mapa final'!$AC$57="Leve"),CONCATENATE("R10C",'Mapa final'!$Q$57),"")</f>
        <v/>
      </c>
      <c r="K15" s="43" t="str">
        <f>IF(AND('Mapa final'!$AA$58="Muy Alta",'Mapa final'!$AC$58="Leve"),CONCATENATE("R10C",'Mapa final'!$Q$58),"")</f>
        <v/>
      </c>
      <c r="L15" s="43" t="str">
        <f>IF(AND('Mapa final'!$AA$59="Muy Alta",'Mapa final'!$AC$59="Leve"),CONCATENATE("R10C",'Mapa final'!$Q$59),"")</f>
        <v/>
      </c>
      <c r="M15" s="43" t="str">
        <f>IF(AND('Mapa final'!$AA$60="Muy Alta",'Mapa final'!$AC$60="Leve"),CONCATENATE("R10C",'Mapa final'!$Q$60),"")</f>
        <v/>
      </c>
      <c r="N15" s="43" t="str">
        <f>IF(AND('Mapa final'!$AA$61="Muy Alta",'Mapa final'!$AC$61="Leve"),CONCATENATE("R10C",'Mapa final'!$Q$61),"")</f>
        <v/>
      </c>
      <c r="O15" s="44" t="str">
        <f>IF(AND('Mapa final'!$AA$62="Muy Alta",'Mapa final'!$AC$62="Leve"),CONCATENATE("R10C",'Mapa final'!$Q$62),"")</f>
        <v/>
      </c>
      <c r="P15" s="36" t="str">
        <f>IF(AND('Mapa final'!$AA$57="Muy Alta",'Mapa final'!$AC$57="Menor"),CONCATENATE("R10C",'Mapa final'!$Q$57),"")</f>
        <v/>
      </c>
      <c r="Q15" s="37" t="str">
        <f>IF(AND('Mapa final'!$AA$58="Muy Alta",'Mapa final'!$AC$58="Menor"),CONCATENATE("R10C",'Mapa final'!$Q$58),"")</f>
        <v/>
      </c>
      <c r="R15" s="37" t="str">
        <f>IF(AND('Mapa final'!$AA$59="Muy Alta",'Mapa final'!$AC$59="Menor"),CONCATENATE("R10C",'Mapa final'!$Q$59),"")</f>
        <v/>
      </c>
      <c r="S15" s="37" t="str">
        <f>IF(AND('Mapa final'!$AA$60="Muy Alta",'Mapa final'!$AC$60="Menor"),CONCATENATE("R10C",'Mapa final'!$Q$60),"")</f>
        <v/>
      </c>
      <c r="T15" s="37" t="str">
        <f>IF(AND('Mapa final'!$AA$61="Muy Alta",'Mapa final'!$AC$61="Menor"),CONCATENATE("R10C",'Mapa final'!$Q$61),"")</f>
        <v/>
      </c>
      <c r="U15" s="38" t="str">
        <f>IF(AND('Mapa final'!$AA$62="Muy Alta",'Mapa final'!$AC$62="Menor"),CONCATENATE("R10C",'Mapa final'!$Q$62),"")</f>
        <v/>
      </c>
      <c r="V15" s="42" t="str">
        <f>IF(AND('Mapa final'!$AA$57="Muy Alta",'Mapa final'!$AC$57="Moderado"),CONCATENATE("R10C",'Mapa final'!$Q$57),"")</f>
        <v/>
      </c>
      <c r="W15" s="43" t="str">
        <f>IF(AND('Mapa final'!$AA$58="Muy Alta",'Mapa final'!$AC$58="Moderado"),CONCATENATE("R10C",'Mapa final'!$Q$58),"")</f>
        <v/>
      </c>
      <c r="X15" s="43" t="str">
        <f>IF(AND('Mapa final'!$AA$59="Muy Alta",'Mapa final'!$AC$59="Moderado"),CONCATENATE("R10C",'Mapa final'!$Q$59),"")</f>
        <v/>
      </c>
      <c r="Y15" s="43" t="str">
        <f>IF(AND('Mapa final'!$AA$60="Muy Alta",'Mapa final'!$AC$60="Moderado"),CONCATENATE("R10C",'Mapa final'!$Q$60),"")</f>
        <v/>
      </c>
      <c r="Z15" s="43" t="str">
        <f>IF(AND('Mapa final'!$AA$61="Muy Alta",'Mapa final'!$AC$61="Moderado"),CONCATENATE("R10C",'Mapa final'!$Q$61),"")</f>
        <v/>
      </c>
      <c r="AA15" s="44" t="str">
        <f>IF(AND('Mapa final'!$AA$62="Muy Alta",'Mapa final'!$AC$62="Moderado"),CONCATENATE("R10C",'Mapa final'!$Q$62),"")</f>
        <v/>
      </c>
      <c r="AB15" s="36" t="str">
        <f>IF(AND('Mapa final'!$AA$57="Muy Alta",'Mapa final'!$AC$57="Mayor"),CONCATENATE("R10C",'Mapa final'!$Q$57),"")</f>
        <v/>
      </c>
      <c r="AC15" s="37" t="str">
        <f>IF(AND('Mapa final'!$AA$58="Muy Alta",'Mapa final'!$AC$58="Mayor"),CONCATENATE("R10C",'Mapa final'!$Q$58),"")</f>
        <v/>
      </c>
      <c r="AD15" s="37" t="str">
        <f>IF(AND('Mapa final'!$AA$59="Muy Alta",'Mapa final'!$AC$59="Mayor"),CONCATENATE("R10C",'Mapa final'!$Q$59),"")</f>
        <v/>
      </c>
      <c r="AE15" s="37" t="str">
        <f>IF(AND('Mapa final'!$AA$60="Muy Alta",'Mapa final'!$AC$60="Mayor"),CONCATENATE("R10C",'Mapa final'!$Q$60),"")</f>
        <v/>
      </c>
      <c r="AF15" s="37" t="str">
        <f>IF(AND('Mapa final'!$AA$61="Muy Alta",'Mapa final'!$AC$61="Mayor"),CONCATENATE("R10C",'Mapa final'!$Q$61),"")</f>
        <v/>
      </c>
      <c r="AG15" s="38" t="str">
        <f>IF(AND('Mapa final'!$AA$62="Muy Alta",'Mapa final'!$AC$62="Mayor"),CONCATENATE("R10C",'Mapa final'!$Q$62),"")</f>
        <v/>
      </c>
      <c r="AH15" s="45" t="str">
        <f>IF(AND('Mapa final'!$AA$57="Muy Alta",'Mapa final'!$AC$57="Catastrófico"),CONCATENATE("R10C",'Mapa final'!$Q$57),"")</f>
        <v/>
      </c>
      <c r="AI15" s="46" t="str">
        <f>IF(AND('Mapa final'!$AA$58="Muy Alta",'Mapa final'!$AC$58="Catastrófico"),CONCATENATE("R10C",'Mapa final'!$Q$58),"")</f>
        <v/>
      </c>
      <c r="AJ15" s="46" t="str">
        <f>IF(AND('Mapa final'!$AA$59="Muy Alta",'Mapa final'!$AC$59="Catastrófico"),CONCATENATE("R10C",'Mapa final'!$Q$59),"")</f>
        <v/>
      </c>
      <c r="AK15" s="46" t="str">
        <f>IF(AND('Mapa final'!$AA$60="Muy Alta",'Mapa final'!$AC$60="Catastrófico"),CONCATENATE("R10C",'Mapa final'!$Q$60),"")</f>
        <v/>
      </c>
      <c r="AL15" s="46" t="str">
        <f>IF(AND('Mapa final'!$AA$61="Muy Alta",'Mapa final'!$AC$61="Catastrófico"),CONCATENATE("R10C",'Mapa final'!$Q$61),"")</f>
        <v/>
      </c>
      <c r="AM15" s="47" t="str">
        <f>IF(AND('Mapa final'!$AA$62="Muy Alta",'Mapa final'!$AC$62="Catastrófico"),CONCATENATE("R10C",'Mapa final'!$Q$62),"")</f>
        <v/>
      </c>
      <c r="AN15" s="67"/>
      <c r="AO15" s="402"/>
      <c r="AP15" s="403"/>
      <c r="AQ15" s="403"/>
      <c r="AR15" s="403"/>
      <c r="AS15" s="403"/>
      <c r="AT15" s="40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294"/>
      <c r="C16" s="294"/>
      <c r="D16" s="295"/>
      <c r="E16" s="389" t="s">
        <v>110</v>
      </c>
      <c r="F16" s="390"/>
      <c r="G16" s="390"/>
      <c r="H16" s="390"/>
      <c r="I16" s="390"/>
      <c r="J16" s="48" t="str">
        <f ca="1">IF(AND('Mapa final'!$AA$10="Alta",'Mapa final'!$AC$10="Leve"),CONCATENATE("R1C",'Mapa final'!$Q$10),"")</f>
        <v/>
      </c>
      <c r="K16" s="49" t="str">
        <f>IF(AND('Mapa final'!$AA$11="Alta",'Mapa final'!$AC$11="Leve"),CONCATENATE("R1C",'Mapa final'!$Q$11),"")</f>
        <v/>
      </c>
      <c r="L16" s="49" t="e">
        <f>IF(AND('Mapa final'!#REF!="Alta",'Mapa final'!#REF!="Leve"),CONCATENATE("R1C",'Mapa final'!#REF!),"")</f>
        <v>#REF!</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IF(AND('Mapa final'!$AA$11="Alta",'Mapa final'!$AC$11="Menor"),CONCATENATE("R1C",'Mapa final'!$Q$11),"")</f>
        <v/>
      </c>
      <c r="R16" s="49" t="e">
        <f>IF(AND('Mapa final'!#REF!="Alta",'Mapa final'!#REF!="Menor"),CONCATENATE("R1C",'Mapa final'!#REF!),"")</f>
        <v>#REF!</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
      </c>
      <c r="W16" s="31" t="str">
        <f>IF(AND('Mapa final'!$AA$11="Alta",'Mapa final'!$AC$11="Moderado"),CONCATENATE("R1C",'Mapa final'!$Q$11),"")</f>
        <v/>
      </c>
      <c r="X16" s="31" t="e">
        <f>IF(AND('Mapa final'!#REF!="Alta",'Mapa final'!#REF!="Moderado"),CONCATENATE("R1C",'Mapa final'!#REF!),"")</f>
        <v>#REF!</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IF(AND('Mapa final'!$AA$11="Alta",'Mapa final'!$AC$11="Mayor"),CONCATENATE("R1C",'Mapa final'!$Q$11),"")</f>
        <v/>
      </c>
      <c r="AD16" s="31" t="e">
        <f>IF(AND('Mapa final'!#REF!="Alta",'Mapa final'!#REF!="Mayor"),CONCATENATE("R1C",'Mapa final'!#REF!),"")</f>
        <v>#REF!</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IF(AND('Mapa final'!$AA$11="Alta",'Mapa final'!$AC$11="Catastrófico"),CONCATENATE("R1C",'Mapa final'!$Q$11),"")</f>
        <v/>
      </c>
      <c r="AJ16" s="34" t="e">
        <f>IF(AND('Mapa final'!#REF!="Alta",'Mapa final'!#REF!="Catastrófico"),CONCATENATE("R1C",'Mapa final'!#REF!),"")</f>
        <v>#REF!</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380" t="s">
        <v>79</v>
      </c>
      <c r="AP16" s="381"/>
      <c r="AQ16" s="381"/>
      <c r="AR16" s="381"/>
      <c r="AS16" s="381"/>
      <c r="AT16" s="38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294"/>
      <c r="C17" s="294"/>
      <c r="D17" s="295"/>
      <c r="E17" s="391"/>
      <c r="F17" s="392"/>
      <c r="G17" s="392"/>
      <c r="H17" s="392"/>
      <c r="I17" s="392"/>
      <c r="J17" s="51" t="str">
        <f>IF(AND('Mapa final'!$AA$12="Alta",'Mapa final'!$AC$12="Leve"),CONCATENATE("R2C",'Mapa final'!$Q$12),"")</f>
        <v/>
      </c>
      <c r="K17" s="52" t="str">
        <f>IF(AND('Mapa final'!$AA$13="Alta",'Mapa final'!$AC$13="Leve"),CONCATENATE("R2C",'Mapa final'!$Q$13),"")</f>
        <v/>
      </c>
      <c r="L17" s="52" t="str">
        <f>IF(AND('Mapa final'!$AA$14="Alta",'Mapa final'!$AC$14="Leve"),CONCATENATE("R2C",'Mapa final'!$Q$14),"")</f>
        <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final'!$AA$12="Alta",'Mapa final'!$AC$12="Menor"),CONCATENATE("R2C",'Mapa final'!$Q$12),"")</f>
        <v/>
      </c>
      <c r="Q17" s="52" t="str">
        <f>IF(AND('Mapa final'!$AA$13="Alta",'Mapa final'!$AC$13="Menor"),CONCATENATE("R2C",'Mapa final'!$Q$13),"")</f>
        <v/>
      </c>
      <c r="R17" s="52" t="str">
        <f>IF(AND('Mapa final'!$AA$14="Alta",'Mapa final'!$AC$14="Menor"),CONCATENATE("R2C",'Mapa final'!$Q$14),"")</f>
        <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final'!$AA$12="Alta",'Mapa final'!$AC$12="Moderado"),CONCATENATE("R2C",'Mapa final'!$Q$12),"")</f>
        <v/>
      </c>
      <c r="W17" s="37" t="str">
        <f>IF(AND('Mapa final'!$AA$13="Alta",'Mapa final'!$AC$13="Moderado"),CONCATENATE("R2C",'Mapa final'!$Q$13),"")</f>
        <v/>
      </c>
      <c r="X17" s="37" t="str">
        <f>IF(AND('Mapa final'!$AA$14="Alta",'Mapa final'!$AC$14="Moderado"),CONCATENATE("R2C",'Mapa final'!$Q$14),"")</f>
        <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final'!$AA$12="Alta",'Mapa final'!$AC$12="Mayor"),CONCATENATE("R2C",'Mapa final'!$Q$12),"")</f>
        <v/>
      </c>
      <c r="AC17" s="37" t="str">
        <f>IF(AND('Mapa final'!$AA$13="Alta",'Mapa final'!$AC$13="Mayor"),CONCATENATE("R2C",'Mapa final'!$Q$13),"")</f>
        <v/>
      </c>
      <c r="AD17" s="37" t="str">
        <f>IF(AND('Mapa final'!$AA$14="Alta",'Mapa final'!$AC$14="Mayor"),CONCATENATE("R2C",'Mapa final'!$Q$14),"")</f>
        <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final'!$AA$12="Alta",'Mapa final'!$AC$12="Catastrófico"),CONCATENATE("R2C",'Mapa final'!$Q$12),"")</f>
        <v/>
      </c>
      <c r="AI17" s="40" t="str">
        <f>IF(AND('Mapa final'!$AA$13="Alta",'Mapa final'!$AC$13="Catastrófico"),CONCATENATE("R2C",'Mapa final'!$Q$13),"")</f>
        <v/>
      </c>
      <c r="AJ17" s="40" t="str">
        <f>IF(AND('Mapa final'!$AA$14="Alta",'Mapa final'!$AC$14="Catastrófico"),CONCATENATE("R2C",'Mapa final'!$Q$14),"")</f>
        <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383"/>
      <c r="AP17" s="384"/>
      <c r="AQ17" s="384"/>
      <c r="AR17" s="384"/>
      <c r="AS17" s="384"/>
      <c r="AT17" s="38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294"/>
      <c r="C18" s="294"/>
      <c r="D18" s="295"/>
      <c r="E18" s="393"/>
      <c r="F18" s="392"/>
      <c r="G18" s="392"/>
      <c r="H18" s="392"/>
      <c r="I18" s="392"/>
      <c r="J18" s="51" t="str">
        <f>IF(AND('Mapa final'!$AA$15="Alta",'Mapa final'!$AC$15="Leve"),CONCATENATE("R3C",'Mapa final'!$Q$15),"")</f>
        <v/>
      </c>
      <c r="K18" s="52" t="str">
        <f>IF(AND('Mapa final'!$AA$16="Alta",'Mapa final'!$AC$16="Leve"),CONCATENATE("R3C",'Mapa final'!$Q$16),"")</f>
        <v/>
      </c>
      <c r="L18" s="52" t="str">
        <f>IF(AND('Mapa final'!$AA$17="Alta",'Mapa final'!$AC$17="Leve"),CONCATENATE("R3C",'Mapa final'!$Q$17),"")</f>
        <v/>
      </c>
      <c r="M18" s="52" t="str">
        <f>IF(AND('Mapa final'!$AA$18="Alta",'Mapa final'!$AC$18="Leve"),CONCATENATE("R3C",'Mapa final'!$Q$18),"")</f>
        <v/>
      </c>
      <c r="N18" s="52" t="str">
        <f>IF(AND('Mapa final'!$AA$19="Alta",'Mapa final'!$AC$19="Leve"),CONCATENATE("R3C",'Mapa final'!$Q$19),"")</f>
        <v/>
      </c>
      <c r="O18" s="53" t="str">
        <f>IF(AND('Mapa final'!$AA$20="Alta",'Mapa final'!$AC$20="Leve"),CONCATENATE("R3C",'Mapa final'!$Q$20),"")</f>
        <v/>
      </c>
      <c r="P18" s="51" t="str">
        <f>IF(AND('Mapa final'!$AA$15="Alta",'Mapa final'!$AC$15="Menor"),CONCATENATE("R3C",'Mapa final'!$Q$15),"")</f>
        <v/>
      </c>
      <c r="Q18" s="52" t="str">
        <f>IF(AND('Mapa final'!$AA$16="Alta",'Mapa final'!$AC$16="Menor"),CONCATENATE("R3C",'Mapa final'!$Q$16),"")</f>
        <v/>
      </c>
      <c r="R18" s="52" t="str">
        <f>IF(AND('Mapa final'!$AA$17="Alta",'Mapa final'!$AC$17="Menor"),CONCATENATE("R3C",'Mapa final'!$Q$17),"")</f>
        <v/>
      </c>
      <c r="S18" s="52" t="str">
        <f>IF(AND('Mapa final'!$AA$18="Alta",'Mapa final'!$AC$18="Menor"),CONCATENATE("R3C",'Mapa final'!$Q$18),"")</f>
        <v/>
      </c>
      <c r="T18" s="52" t="str">
        <f>IF(AND('Mapa final'!$AA$19="Alta",'Mapa final'!$AC$19="Menor"),CONCATENATE("R3C",'Mapa final'!$Q$19),"")</f>
        <v/>
      </c>
      <c r="U18" s="53" t="str">
        <f>IF(AND('Mapa final'!$AA$20="Alta",'Mapa final'!$AC$20="Menor"),CONCATENATE("R3C",'Mapa final'!$Q$20),"")</f>
        <v/>
      </c>
      <c r="V18" s="36" t="str">
        <f>IF(AND('Mapa final'!$AA$15="Alta",'Mapa final'!$AC$15="Moderado"),CONCATENATE("R3C",'Mapa final'!$Q$15),"")</f>
        <v/>
      </c>
      <c r="W18" s="37" t="str">
        <f>IF(AND('Mapa final'!$AA$16="Alta",'Mapa final'!$AC$16="Moderado"),CONCATENATE("R3C",'Mapa final'!$Q$16),"")</f>
        <v/>
      </c>
      <c r="X18" s="37" t="str">
        <f>IF(AND('Mapa final'!$AA$17="Alta",'Mapa final'!$AC$17="Moderado"),CONCATENATE("R3C",'Mapa final'!$Q$17),"")</f>
        <v/>
      </c>
      <c r="Y18" s="37" t="str">
        <f>IF(AND('Mapa final'!$AA$18="Alta",'Mapa final'!$AC$18="Moderado"),CONCATENATE("R3C",'Mapa final'!$Q$18),"")</f>
        <v/>
      </c>
      <c r="Z18" s="37" t="str">
        <f>IF(AND('Mapa final'!$AA$19="Alta",'Mapa final'!$AC$19="Moderado"),CONCATENATE("R3C",'Mapa final'!$Q$19),"")</f>
        <v/>
      </c>
      <c r="AA18" s="38" t="str">
        <f>IF(AND('Mapa final'!$AA$20="Alta",'Mapa final'!$AC$20="Moderado"),CONCATENATE("R3C",'Mapa final'!$Q$20),"")</f>
        <v/>
      </c>
      <c r="AB18" s="36" t="str">
        <f>IF(AND('Mapa final'!$AA$15="Alta",'Mapa final'!$AC$15="Mayor"),CONCATENATE("R3C",'Mapa final'!$Q$15),"")</f>
        <v/>
      </c>
      <c r="AC18" s="37" t="str">
        <f>IF(AND('Mapa final'!$AA$16="Alta",'Mapa final'!$AC$16="Mayor"),CONCATENATE("R3C",'Mapa final'!$Q$16),"")</f>
        <v/>
      </c>
      <c r="AD18" s="37" t="str">
        <f>IF(AND('Mapa final'!$AA$17="Alta",'Mapa final'!$AC$17="Mayor"),CONCATENATE("R3C",'Mapa final'!$Q$17),"")</f>
        <v/>
      </c>
      <c r="AE18" s="37" t="str">
        <f>IF(AND('Mapa final'!$AA$18="Alta",'Mapa final'!$AC$18="Mayor"),CONCATENATE("R3C",'Mapa final'!$Q$18),"")</f>
        <v/>
      </c>
      <c r="AF18" s="37" t="str">
        <f>IF(AND('Mapa final'!$AA$19="Alta",'Mapa final'!$AC$19="Mayor"),CONCATENATE("R3C",'Mapa final'!$Q$19),"")</f>
        <v/>
      </c>
      <c r="AG18" s="38" t="str">
        <f>IF(AND('Mapa final'!$AA$20="Alta",'Mapa final'!$AC$20="Mayor"),CONCATENATE("R3C",'Mapa final'!$Q$20),"")</f>
        <v/>
      </c>
      <c r="AH18" s="39" t="str">
        <f>IF(AND('Mapa final'!$AA$15="Alta",'Mapa final'!$AC$15="Catastrófico"),CONCATENATE("R3C",'Mapa final'!$Q$15),"")</f>
        <v/>
      </c>
      <c r="AI18" s="40" t="str">
        <f>IF(AND('Mapa final'!$AA$16="Alta",'Mapa final'!$AC$16="Catastrófico"),CONCATENATE("R3C",'Mapa final'!$Q$16),"")</f>
        <v/>
      </c>
      <c r="AJ18" s="40" t="str">
        <f>IF(AND('Mapa final'!$AA$17="Alta",'Mapa final'!$AC$17="Catastrófico"),CONCATENATE("R3C",'Mapa final'!$Q$17),"")</f>
        <v/>
      </c>
      <c r="AK18" s="40" t="str">
        <f>IF(AND('Mapa final'!$AA$18="Alta",'Mapa final'!$AC$18="Catastrófico"),CONCATENATE("R3C",'Mapa final'!$Q$18),"")</f>
        <v/>
      </c>
      <c r="AL18" s="40" t="str">
        <f>IF(AND('Mapa final'!$AA$19="Alta",'Mapa final'!$AC$19="Catastrófico"),CONCATENATE("R3C",'Mapa final'!$Q$19),"")</f>
        <v/>
      </c>
      <c r="AM18" s="41" t="str">
        <f>IF(AND('Mapa final'!$AA$20="Alta",'Mapa final'!$AC$20="Catastrófico"),CONCATENATE("R3C",'Mapa final'!$Q$20),"")</f>
        <v/>
      </c>
      <c r="AN18" s="67"/>
      <c r="AO18" s="383"/>
      <c r="AP18" s="384"/>
      <c r="AQ18" s="384"/>
      <c r="AR18" s="384"/>
      <c r="AS18" s="384"/>
      <c r="AT18" s="38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294"/>
      <c r="C19" s="294"/>
      <c r="D19" s="295"/>
      <c r="E19" s="393"/>
      <c r="F19" s="392"/>
      <c r="G19" s="392"/>
      <c r="H19" s="392"/>
      <c r="I19" s="392"/>
      <c r="J19" s="51" t="str">
        <f>IF(AND('Mapa final'!$AA$21="Alta",'Mapa final'!$AC$21="Leve"),CONCATENATE("R4C",'Mapa final'!$Q$21),"")</f>
        <v/>
      </c>
      <c r="K19" s="52" t="str">
        <f>IF(AND('Mapa final'!$AA$22="Alta",'Mapa final'!$AC$22="Leve"),CONCATENATE("R4C",'Mapa final'!$Q$22),"")</f>
        <v/>
      </c>
      <c r="L19" s="52" t="str">
        <f>IF(AND('Mapa final'!$AA$23="Alta",'Mapa final'!$AC$23="Leve"),CONCATENATE("R4C",'Mapa final'!$Q$23),"")</f>
        <v/>
      </c>
      <c r="M19" s="52" t="str">
        <f>IF(AND('Mapa final'!$AA$24="Alta",'Mapa final'!$AC$24="Leve"),CONCATENATE("R4C",'Mapa final'!$Q$24),"")</f>
        <v/>
      </c>
      <c r="N19" s="52" t="str">
        <f>IF(AND('Mapa final'!$AA$25="Alta",'Mapa final'!$AC$25="Leve"),CONCATENATE("R4C",'Mapa final'!$Q$25),"")</f>
        <v/>
      </c>
      <c r="O19" s="53" t="str">
        <f>IF(AND('Mapa final'!$AA$26="Alta",'Mapa final'!$AC$26="Leve"),CONCATENATE("R4C",'Mapa final'!$Q$26),"")</f>
        <v/>
      </c>
      <c r="P19" s="51" t="str">
        <f>IF(AND('Mapa final'!$AA$21="Alta",'Mapa final'!$AC$21="Menor"),CONCATENATE("R4C",'Mapa final'!$Q$21),"")</f>
        <v/>
      </c>
      <c r="Q19" s="52" t="str">
        <f>IF(AND('Mapa final'!$AA$22="Alta",'Mapa final'!$AC$22="Menor"),CONCATENATE("R4C",'Mapa final'!$Q$22),"")</f>
        <v/>
      </c>
      <c r="R19" s="52" t="str">
        <f>IF(AND('Mapa final'!$AA$23="Alta",'Mapa final'!$AC$23="Menor"),CONCATENATE("R4C",'Mapa final'!$Q$23),"")</f>
        <v/>
      </c>
      <c r="S19" s="52" t="str">
        <f>IF(AND('Mapa final'!$AA$24="Alta",'Mapa final'!$AC$24="Menor"),CONCATENATE("R4C",'Mapa final'!$Q$24),"")</f>
        <v/>
      </c>
      <c r="T19" s="52" t="str">
        <f>IF(AND('Mapa final'!$AA$25="Alta",'Mapa final'!$AC$25="Menor"),CONCATENATE("R4C",'Mapa final'!$Q$25),"")</f>
        <v/>
      </c>
      <c r="U19" s="53" t="str">
        <f>IF(AND('Mapa final'!$AA$26="Alta",'Mapa final'!$AC$26="Menor"),CONCATENATE("R4C",'Mapa final'!$Q$26),"")</f>
        <v/>
      </c>
      <c r="V19" s="36" t="str">
        <f>IF(AND('Mapa final'!$AA$21="Alta",'Mapa final'!$AC$21="Moderado"),CONCATENATE("R4C",'Mapa final'!$Q$21),"")</f>
        <v/>
      </c>
      <c r="W19" s="37" t="str">
        <f>IF(AND('Mapa final'!$AA$22="Alta",'Mapa final'!$AC$22="Moderado"),CONCATENATE("R4C",'Mapa final'!$Q$22),"")</f>
        <v/>
      </c>
      <c r="X19" s="37" t="str">
        <f>IF(AND('Mapa final'!$AA$23="Alta",'Mapa final'!$AC$23="Moderado"),CONCATENATE("R4C",'Mapa final'!$Q$23),"")</f>
        <v/>
      </c>
      <c r="Y19" s="37" t="str">
        <f>IF(AND('Mapa final'!$AA$24="Alta",'Mapa final'!$AC$24="Moderado"),CONCATENATE("R4C",'Mapa final'!$Q$24),"")</f>
        <v/>
      </c>
      <c r="Z19" s="37" t="str">
        <f>IF(AND('Mapa final'!$AA$25="Alta",'Mapa final'!$AC$25="Moderado"),CONCATENATE("R4C",'Mapa final'!$Q$25),"")</f>
        <v/>
      </c>
      <c r="AA19" s="38" t="str">
        <f>IF(AND('Mapa final'!$AA$26="Alta",'Mapa final'!$AC$26="Moderado"),CONCATENATE("R4C",'Mapa final'!$Q$26),"")</f>
        <v/>
      </c>
      <c r="AB19" s="36" t="str">
        <f>IF(AND('Mapa final'!$AA$21="Alta",'Mapa final'!$AC$21="Mayor"),CONCATENATE("R4C",'Mapa final'!$Q$21),"")</f>
        <v/>
      </c>
      <c r="AC19" s="37" t="str">
        <f>IF(AND('Mapa final'!$AA$22="Alta",'Mapa final'!$AC$22="Mayor"),CONCATENATE("R4C",'Mapa final'!$Q$22),"")</f>
        <v/>
      </c>
      <c r="AD19" s="37" t="str">
        <f>IF(AND('Mapa final'!$AA$23="Alta",'Mapa final'!$AC$23="Mayor"),CONCATENATE("R4C",'Mapa final'!$Q$23),"")</f>
        <v/>
      </c>
      <c r="AE19" s="37" t="str">
        <f>IF(AND('Mapa final'!$AA$24="Alta",'Mapa final'!$AC$24="Mayor"),CONCATENATE("R4C",'Mapa final'!$Q$24),"")</f>
        <v/>
      </c>
      <c r="AF19" s="37" t="str">
        <f>IF(AND('Mapa final'!$AA$25="Alta",'Mapa final'!$AC$25="Mayor"),CONCATENATE("R4C",'Mapa final'!$Q$25),"")</f>
        <v/>
      </c>
      <c r="AG19" s="38" t="str">
        <f>IF(AND('Mapa final'!$AA$26="Alta",'Mapa final'!$AC$26="Mayor"),CONCATENATE("R4C",'Mapa final'!$Q$26),"")</f>
        <v/>
      </c>
      <c r="AH19" s="39" t="str">
        <f>IF(AND('Mapa final'!$AA$21="Alta",'Mapa final'!$AC$21="Catastrófico"),CONCATENATE("R4C",'Mapa final'!$Q$21),"")</f>
        <v/>
      </c>
      <c r="AI19" s="40" t="str">
        <f>IF(AND('Mapa final'!$AA$22="Alta",'Mapa final'!$AC$22="Catastrófico"),CONCATENATE("R4C",'Mapa final'!$Q$22),"")</f>
        <v/>
      </c>
      <c r="AJ19" s="40" t="str">
        <f>IF(AND('Mapa final'!$AA$23="Alta",'Mapa final'!$AC$23="Catastrófico"),CONCATENATE("R4C",'Mapa final'!$Q$23),"")</f>
        <v/>
      </c>
      <c r="AK19" s="40" t="str">
        <f>IF(AND('Mapa final'!$AA$24="Alta",'Mapa final'!$AC$24="Catastrófico"),CONCATENATE("R4C",'Mapa final'!$Q$24),"")</f>
        <v/>
      </c>
      <c r="AL19" s="40" t="str">
        <f>IF(AND('Mapa final'!$AA$25="Alta",'Mapa final'!$AC$25="Catastrófico"),CONCATENATE("R4C",'Mapa final'!$Q$25),"")</f>
        <v/>
      </c>
      <c r="AM19" s="41" t="str">
        <f>IF(AND('Mapa final'!$AA$26="Alta",'Mapa final'!$AC$26="Catastrófico"),CONCATENATE("R4C",'Mapa final'!$Q$26),"")</f>
        <v/>
      </c>
      <c r="AN19" s="67"/>
      <c r="AO19" s="383"/>
      <c r="AP19" s="384"/>
      <c r="AQ19" s="384"/>
      <c r="AR19" s="384"/>
      <c r="AS19" s="384"/>
      <c r="AT19" s="38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294"/>
      <c r="C20" s="294"/>
      <c r="D20" s="295"/>
      <c r="E20" s="393"/>
      <c r="F20" s="392"/>
      <c r="G20" s="392"/>
      <c r="H20" s="392"/>
      <c r="I20" s="392"/>
      <c r="J20" s="51" t="str">
        <f>IF(AND('Mapa final'!$AA$27="Alta",'Mapa final'!$AC$27="Leve"),CONCATENATE("R5C",'Mapa final'!$Q$27),"")</f>
        <v/>
      </c>
      <c r="K20" s="52" t="str">
        <f>IF(AND('Mapa final'!$AA$28="Alta",'Mapa final'!$AC$28="Leve"),CONCATENATE("R5C",'Mapa final'!$Q$28),"")</f>
        <v/>
      </c>
      <c r="L20" s="52" t="str">
        <f>IF(AND('Mapa final'!$AA$29="Alta",'Mapa final'!$AC$29="Leve"),CONCATENATE("R5C",'Mapa final'!$Q$29),"")</f>
        <v/>
      </c>
      <c r="M20" s="52" t="str">
        <f>IF(AND('Mapa final'!$AA$30="Alta",'Mapa final'!$AC$30="Leve"),CONCATENATE("R5C",'Mapa final'!$Q$30),"")</f>
        <v/>
      </c>
      <c r="N20" s="52" t="str">
        <f>IF(AND('Mapa final'!$AA$31="Alta",'Mapa final'!$AC$31="Leve"),CONCATENATE("R5C",'Mapa final'!$Q$31),"")</f>
        <v/>
      </c>
      <c r="O20" s="53" t="str">
        <f>IF(AND('Mapa final'!$AA$32="Alta",'Mapa final'!$AC$32="Leve"),CONCATENATE("R5C",'Mapa final'!$Q$32),"")</f>
        <v/>
      </c>
      <c r="P20" s="51" t="str">
        <f>IF(AND('Mapa final'!$AA$27="Alta",'Mapa final'!$AC$27="Menor"),CONCATENATE("R5C",'Mapa final'!$Q$27),"")</f>
        <v/>
      </c>
      <c r="Q20" s="52" t="str">
        <f>IF(AND('Mapa final'!$AA$28="Alta",'Mapa final'!$AC$28="Menor"),CONCATENATE("R5C",'Mapa final'!$Q$28),"")</f>
        <v/>
      </c>
      <c r="R20" s="52" t="str">
        <f>IF(AND('Mapa final'!$AA$29="Alta",'Mapa final'!$AC$29="Menor"),CONCATENATE("R5C",'Mapa final'!$Q$29),"")</f>
        <v/>
      </c>
      <c r="S20" s="52" t="str">
        <f>IF(AND('Mapa final'!$AA$30="Alta",'Mapa final'!$AC$30="Menor"),CONCATENATE("R5C",'Mapa final'!$Q$30),"")</f>
        <v/>
      </c>
      <c r="T20" s="52" t="str">
        <f>IF(AND('Mapa final'!$AA$31="Alta",'Mapa final'!$AC$31="Menor"),CONCATENATE("R5C",'Mapa final'!$Q$31),"")</f>
        <v/>
      </c>
      <c r="U20" s="53" t="str">
        <f>IF(AND('Mapa final'!$AA$32="Alta",'Mapa final'!$AC$32="Menor"),CONCATENATE("R5C",'Mapa final'!$Q$32),"")</f>
        <v/>
      </c>
      <c r="V20" s="36" t="str">
        <f>IF(AND('Mapa final'!$AA$27="Alta",'Mapa final'!$AC$27="Moderado"),CONCATENATE("R5C",'Mapa final'!$Q$27),"")</f>
        <v/>
      </c>
      <c r="W20" s="37" t="str">
        <f>IF(AND('Mapa final'!$AA$28="Alta",'Mapa final'!$AC$28="Moderado"),CONCATENATE("R5C",'Mapa final'!$Q$28),"")</f>
        <v/>
      </c>
      <c r="X20" s="37" t="str">
        <f>IF(AND('Mapa final'!$AA$29="Alta",'Mapa final'!$AC$29="Moderado"),CONCATENATE("R5C",'Mapa final'!$Q$29),"")</f>
        <v/>
      </c>
      <c r="Y20" s="37" t="str">
        <f>IF(AND('Mapa final'!$AA$30="Alta",'Mapa final'!$AC$30="Moderado"),CONCATENATE("R5C",'Mapa final'!$Q$30),"")</f>
        <v/>
      </c>
      <c r="Z20" s="37" t="str">
        <f>IF(AND('Mapa final'!$AA$31="Alta",'Mapa final'!$AC$31="Moderado"),CONCATENATE("R5C",'Mapa final'!$Q$31),"")</f>
        <v/>
      </c>
      <c r="AA20" s="38" t="str">
        <f>IF(AND('Mapa final'!$AA$32="Alta",'Mapa final'!$AC$32="Moderado"),CONCATENATE("R5C",'Mapa final'!$Q$32),"")</f>
        <v/>
      </c>
      <c r="AB20" s="36" t="str">
        <f>IF(AND('Mapa final'!$AA$27="Alta",'Mapa final'!$AC$27="Mayor"),CONCATENATE("R5C",'Mapa final'!$Q$27),"")</f>
        <v/>
      </c>
      <c r="AC20" s="37" t="str">
        <f>IF(AND('Mapa final'!$AA$28="Alta",'Mapa final'!$AC$28="Mayor"),CONCATENATE("R5C",'Mapa final'!$Q$28),"")</f>
        <v/>
      </c>
      <c r="AD20" s="37" t="str">
        <f>IF(AND('Mapa final'!$AA$29="Alta",'Mapa final'!$AC$29="Mayor"),CONCATENATE("R5C",'Mapa final'!$Q$29),"")</f>
        <v/>
      </c>
      <c r="AE20" s="37" t="str">
        <f>IF(AND('Mapa final'!$AA$30="Alta",'Mapa final'!$AC$30="Mayor"),CONCATENATE("R5C",'Mapa final'!$Q$30),"")</f>
        <v/>
      </c>
      <c r="AF20" s="37" t="str">
        <f>IF(AND('Mapa final'!$AA$31="Alta",'Mapa final'!$AC$31="Mayor"),CONCATENATE("R5C",'Mapa final'!$Q$31),"")</f>
        <v/>
      </c>
      <c r="AG20" s="38" t="str">
        <f>IF(AND('Mapa final'!$AA$32="Alta",'Mapa final'!$AC$32="Mayor"),CONCATENATE("R5C",'Mapa final'!$Q$32),"")</f>
        <v/>
      </c>
      <c r="AH20" s="39" t="str">
        <f>IF(AND('Mapa final'!$AA$27="Alta",'Mapa final'!$AC$27="Catastrófico"),CONCATENATE("R5C",'Mapa final'!$Q$27),"")</f>
        <v/>
      </c>
      <c r="AI20" s="40" t="str">
        <f>IF(AND('Mapa final'!$AA$28="Alta",'Mapa final'!$AC$28="Catastrófico"),CONCATENATE("R5C",'Mapa final'!$Q$28),"")</f>
        <v/>
      </c>
      <c r="AJ20" s="40" t="str">
        <f>IF(AND('Mapa final'!$AA$29="Alta",'Mapa final'!$AC$29="Catastrófico"),CONCATENATE("R5C",'Mapa final'!$Q$29),"")</f>
        <v/>
      </c>
      <c r="AK20" s="40" t="str">
        <f>IF(AND('Mapa final'!$AA$30="Alta",'Mapa final'!$AC$30="Catastrófico"),CONCATENATE("R5C",'Mapa final'!$Q$30),"")</f>
        <v/>
      </c>
      <c r="AL20" s="40" t="str">
        <f>IF(AND('Mapa final'!$AA$31="Alta",'Mapa final'!$AC$31="Catastrófico"),CONCATENATE("R5C",'Mapa final'!$Q$31),"")</f>
        <v/>
      </c>
      <c r="AM20" s="41" t="str">
        <f>IF(AND('Mapa final'!$AA$32="Alta",'Mapa final'!$AC$32="Catastrófico"),CONCATENATE("R5C",'Mapa final'!$Q$32),"")</f>
        <v/>
      </c>
      <c r="AN20" s="67"/>
      <c r="AO20" s="383"/>
      <c r="AP20" s="384"/>
      <c r="AQ20" s="384"/>
      <c r="AR20" s="384"/>
      <c r="AS20" s="384"/>
      <c r="AT20" s="38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294"/>
      <c r="C21" s="294"/>
      <c r="D21" s="295"/>
      <c r="E21" s="393"/>
      <c r="F21" s="392"/>
      <c r="G21" s="392"/>
      <c r="H21" s="392"/>
      <c r="I21" s="392"/>
      <c r="J21" s="51" t="str">
        <f>IF(AND('Mapa final'!$AA$33="Alta",'Mapa final'!$AC$33="Leve"),CONCATENATE("R6C",'Mapa final'!$Q$33),"")</f>
        <v/>
      </c>
      <c r="K21" s="52" t="str">
        <f>IF(AND('Mapa final'!$AA$34="Alta",'Mapa final'!$AC$34="Leve"),CONCATENATE("R6C",'Mapa final'!$Q$34),"")</f>
        <v/>
      </c>
      <c r="L21" s="52" t="str">
        <f>IF(AND('Mapa final'!$AA$35="Alta",'Mapa final'!$AC$35="Leve"),CONCATENATE("R6C",'Mapa final'!$Q$35),"")</f>
        <v/>
      </c>
      <c r="M21" s="52" t="str">
        <f>IF(AND('Mapa final'!$AA$36="Alta",'Mapa final'!$AC$36="Leve"),CONCATENATE("R6C",'Mapa final'!$Q$36),"")</f>
        <v/>
      </c>
      <c r="N21" s="52" t="str">
        <f>IF(AND('Mapa final'!$AA$37="Alta",'Mapa final'!$AC$37="Leve"),CONCATENATE("R6C",'Mapa final'!$Q$37),"")</f>
        <v/>
      </c>
      <c r="O21" s="53" t="str">
        <f>IF(AND('Mapa final'!$AA$38="Alta",'Mapa final'!$AC$38="Leve"),CONCATENATE("R6C",'Mapa final'!$Q$38),"")</f>
        <v/>
      </c>
      <c r="P21" s="51" t="str">
        <f>IF(AND('Mapa final'!$AA$33="Alta",'Mapa final'!$AC$33="Menor"),CONCATENATE("R6C",'Mapa final'!$Q$33),"")</f>
        <v/>
      </c>
      <c r="Q21" s="52" t="str">
        <f>IF(AND('Mapa final'!$AA$34="Alta",'Mapa final'!$AC$34="Menor"),CONCATENATE("R6C",'Mapa final'!$Q$34),"")</f>
        <v/>
      </c>
      <c r="R21" s="52" t="str">
        <f>IF(AND('Mapa final'!$AA$35="Alta",'Mapa final'!$AC$35="Menor"),CONCATENATE("R6C",'Mapa final'!$Q$35),"")</f>
        <v/>
      </c>
      <c r="S21" s="52" t="str">
        <f>IF(AND('Mapa final'!$AA$36="Alta",'Mapa final'!$AC$36="Menor"),CONCATENATE("R6C",'Mapa final'!$Q$36),"")</f>
        <v/>
      </c>
      <c r="T21" s="52" t="str">
        <f>IF(AND('Mapa final'!$AA$37="Alta",'Mapa final'!$AC$37="Menor"),CONCATENATE("R6C",'Mapa final'!$Q$37),"")</f>
        <v/>
      </c>
      <c r="U21" s="53" t="str">
        <f>IF(AND('Mapa final'!$AA$38="Alta",'Mapa final'!$AC$38="Menor"),CONCATENATE("R6C",'Mapa final'!$Q$38),"")</f>
        <v/>
      </c>
      <c r="V21" s="36" t="str">
        <f>IF(AND('Mapa final'!$AA$33="Alta",'Mapa final'!$AC$33="Moderado"),CONCATENATE("R6C",'Mapa final'!$Q$33),"")</f>
        <v/>
      </c>
      <c r="W21" s="37" t="str">
        <f>IF(AND('Mapa final'!$AA$34="Alta",'Mapa final'!$AC$34="Moderado"),CONCATENATE("R6C",'Mapa final'!$Q$34),"")</f>
        <v/>
      </c>
      <c r="X21" s="37" t="str">
        <f>IF(AND('Mapa final'!$AA$35="Alta",'Mapa final'!$AC$35="Moderado"),CONCATENATE("R6C",'Mapa final'!$Q$35),"")</f>
        <v/>
      </c>
      <c r="Y21" s="37" t="str">
        <f>IF(AND('Mapa final'!$AA$36="Alta",'Mapa final'!$AC$36="Moderado"),CONCATENATE("R6C",'Mapa final'!$Q$36),"")</f>
        <v/>
      </c>
      <c r="Z21" s="37" t="str">
        <f>IF(AND('Mapa final'!$AA$37="Alta",'Mapa final'!$AC$37="Moderado"),CONCATENATE("R6C",'Mapa final'!$Q$37),"")</f>
        <v/>
      </c>
      <c r="AA21" s="38" t="str">
        <f>IF(AND('Mapa final'!$AA$38="Alta",'Mapa final'!$AC$38="Moderado"),CONCATENATE("R6C",'Mapa final'!$Q$38),"")</f>
        <v/>
      </c>
      <c r="AB21" s="36" t="str">
        <f>IF(AND('Mapa final'!$AA$33="Alta",'Mapa final'!$AC$33="Mayor"),CONCATENATE("R6C",'Mapa final'!$Q$33),"")</f>
        <v/>
      </c>
      <c r="AC21" s="37" t="str">
        <f>IF(AND('Mapa final'!$AA$34="Alta",'Mapa final'!$AC$34="Mayor"),CONCATENATE("R6C",'Mapa final'!$Q$34),"")</f>
        <v/>
      </c>
      <c r="AD21" s="37" t="str">
        <f>IF(AND('Mapa final'!$AA$35="Alta",'Mapa final'!$AC$35="Mayor"),CONCATENATE("R6C",'Mapa final'!$Q$35),"")</f>
        <v/>
      </c>
      <c r="AE21" s="37" t="str">
        <f>IF(AND('Mapa final'!$AA$36="Alta",'Mapa final'!$AC$36="Mayor"),CONCATENATE("R6C",'Mapa final'!$Q$36),"")</f>
        <v/>
      </c>
      <c r="AF21" s="37" t="str">
        <f>IF(AND('Mapa final'!$AA$37="Alta",'Mapa final'!$AC$37="Mayor"),CONCATENATE("R6C",'Mapa final'!$Q$37),"")</f>
        <v/>
      </c>
      <c r="AG21" s="38" t="str">
        <f>IF(AND('Mapa final'!$AA$38="Alta",'Mapa final'!$AC$38="Mayor"),CONCATENATE("R6C",'Mapa final'!$Q$38),"")</f>
        <v/>
      </c>
      <c r="AH21" s="39" t="str">
        <f>IF(AND('Mapa final'!$AA$33="Alta",'Mapa final'!$AC$33="Catastrófico"),CONCATENATE("R6C",'Mapa final'!$Q$33),"")</f>
        <v/>
      </c>
      <c r="AI21" s="40" t="str">
        <f>IF(AND('Mapa final'!$AA$34="Alta",'Mapa final'!$AC$34="Catastrófico"),CONCATENATE("R6C",'Mapa final'!$Q$34),"")</f>
        <v/>
      </c>
      <c r="AJ21" s="40" t="str">
        <f>IF(AND('Mapa final'!$AA$35="Alta",'Mapa final'!$AC$35="Catastrófico"),CONCATENATE("R6C",'Mapa final'!$Q$35),"")</f>
        <v/>
      </c>
      <c r="AK21" s="40" t="str">
        <f>IF(AND('Mapa final'!$AA$36="Alta",'Mapa final'!$AC$36="Catastrófico"),CONCATENATE("R6C",'Mapa final'!$Q$36),"")</f>
        <v/>
      </c>
      <c r="AL21" s="40" t="str">
        <f>IF(AND('Mapa final'!$AA$37="Alta",'Mapa final'!$AC$37="Catastrófico"),CONCATENATE("R6C",'Mapa final'!$Q$37),"")</f>
        <v/>
      </c>
      <c r="AM21" s="41" t="str">
        <f>IF(AND('Mapa final'!$AA$38="Alta",'Mapa final'!$AC$38="Catastrófico"),CONCATENATE("R6C",'Mapa final'!$Q$38),"")</f>
        <v/>
      </c>
      <c r="AN21" s="67"/>
      <c r="AO21" s="383"/>
      <c r="AP21" s="384"/>
      <c r="AQ21" s="384"/>
      <c r="AR21" s="384"/>
      <c r="AS21" s="384"/>
      <c r="AT21" s="38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294"/>
      <c r="C22" s="294"/>
      <c r="D22" s="295"/>
      <c r="E22" s="393"/>
      <c r="F22" s="392"/>
      <c r="G22" s="392"/>
      <c r="H22" s="392"/>
      <c r="I22" s="392"/>
      <c r="J22" s="51" t="str">
        <f>IF(AND('Mapa final'!$AA$39="Alta",'Mapa final'!$AC$39="Leve"),CONCATENATE("R7C",'Mapa final'!$Q$39),"")</f>
        <v/>
      </c>
      <c r="K22" s="52" t="str">
        <f>IF(AND('Mapa final'!$AA$40="Alta",'Mapa final'!$AC$40="Leve"),CONCATENATE("R7C",'Mapa final'!$Q$40),"")</f>
        <v/>
      </c>
      <c r="L22" s="52" t="str">
        <f>IF(AND('Mapa final'!$AA$41="Alta",'Mapa final'!$AC$41="Leve"),CONCATENATE("R7C",'Mapa final'!$Q$41),"")</f>
        <v/>
      </c>
      <c r="M22" s="52" t="str">
        <f>IF(AND('Mapa final'!$AA$42="Alta",'Mapa final'!$AC$42="Leve"),CONCATENATE("R7C",'Mapa final'!$Q$42),"")</f>
        <v/>
      </c>
      <c r="N22" s="52" t="str">
        <f>IF(AND('Mapa final'!$AA$43="Alta",'Mapa final'!$AC$43="Leve"),CONCATENATE("R7C",'Mapa final'!$Q$43),"")</f>
        <v/>
      </c>
      <c r="O22" s="53" t="str">
        <f>IF(AND('Mapa final'!$AA$44="Alta",'Mapa final'!$AC$44="Leve"),CONCATENATE("R7C",'Mapa final'!$Q$44),"")</f>
        <v/>
      </c>
      <c r="P22" s="51" t="str">
        <f>IF(AND('Mapa final'!$AA$39="Alta",'Mapa final'!$AC$39="Menor"),CONCATENATE("R7C",'Mapa final'!$Q$39),"")</f>
        <v/>
      </c>
      <c r="Q22" s="52" t="str">
        <f>IF(AND('Mapa final'!$AA$40="Alta",'Mapa final'!$AC$40="Menor"),CONCATENATE("R7C",'Mapa final'!$Q$40),"")</f>
        <v/>
      </c>
      <c r="R22" s="52" t="str">
        <f>IF(AND('Mapa final'!$AA$41="Alta",'Mapa final'!$AC$41="Menor"),CONCATENATE("R7C",'Mapa final'!$Q$41),"")</f>
        <v/>
      </c>
      <c r="S22" s="52" t="str">
        <f>IF(AND('Mapa final'!$AA$42="Alta",'Mapa final'!$AC$42="Menor"),CONCATENATE("R7C",'Mapa final'!$Q$42),"")</f>
        <v/>
      </c>
      <c r="T22" s="52" t="str">
        <f>IF(AND('Mapa final'!$AA$43="Alta",'Mapa final'!$AC$43="Menor"),CONCATENATE("R7C",'Mapa final'!$Q$43),"")</f>
        <v/>
      </c>
      <c r="U22" s="53" t="str">
        <f>IF(AND('Mapa final'!$AA$44="Alta",'Mapa final'!$AC$44="Menor"),CONCATENATE("R7C",'Mapa final'!$Q$44),"")</f>
        <v/>
      </c>
      <c r="V22" s="36" t="str">
        <f>IF(AND('Mapa final'!$AA$39="Alta",'Mapa final'!$AC$39="Moderado"),CONCATENATE("R7C",'Mapa final'!$Q$39),"")</f>
        <v/>
      </c>
      <c r="W22" s="37" t="str">
        <f>IF(AND('Mapa final'!$AA$40="Alta",'Mapa final'!$AC$40="Moderado"),CONCATENATE("R7C",'Mapa final'!$Q$40),"")</f>
        <v/>
      </c>
      <c r="X22" s="37" t="str">
        <f>IF(AND('Mapa final'!$AA$41="Alta",'Mapa final'!$AC$41="Moderado"),CONCATENATE("R7C",'Mapa final'!$Q$41),"")</f>
        <v/>
      </c>
      <c r="Y22" s="37" t="str">
        <f>IF(AND('Mapa final'!$AA$42="Alta",'Mapa final'!$AC$42="Moderado"),CONCATENATE("R7C",'Mapa final'!$Q$42),"")</f>
        <v/>
      </c>
      <c r="Z22" s="37" t="str">
        <f>IF(AND('Mapa final'!$AA$43="Alta",'Mapa final'!$AC$43="Moderado"),CONCATENATE("R7C",'Mapa final'!$Q$43),"")</f>
        <v/>
      </c>
      <c r="AA22" s="38" t="str">
        <f>IF(AND('Mapa final'!$AA$44="Alta",'Mapa final'!$AC$44="Moderado"),CONCATENATE("R7C",'Mapa final'!$Q$44),"")</f>
        <v/>
      </c>
      <c r="AB22" s="36" t="str">
        <f>IF(AND('Mapa final'!$AA$39="Alta",'Mapa final'!$AC$39="Mayor"),CONCATENATE("R7C",'Mapa final'!$Q$39),"")</f>
        <v/>
      </c>
      <c r="AC22" s="37" t="str">
        <f>IF(AND('Mapa final'!$AA$40="Alta",'Mapa final'!$AC$40="Mayor"),CONCATENATE("R7C",'Mapa final'!$Q$40),"")</f>
        <v/>
      </c>
      <c r="AD22" s="37" t="str">
        <f>IF(AND('Mapa final'!$AA$41="Alta",'Mapa final'!$AC$41="Mayor"),CONCATENATE("R7C",'Mapa final'!$Q$41),"")</f>
        <v/>
      </c>
      <c r="AE22" s="37" t="str">
        <f>IF(AND('Mapa final'!$AA$42="Alta",'Mapa final'!$AC$42="Mayor"),CONCATENATE("R7C",'Mapa final'!$Q$42),"")</f>
        <v/>
      </c>
      <c r="AF22" s="37" t="str">
        <f>IF(AND('Mapa final'!$AA$43="Alta",'Mapa final'!$AC$43="Mayor"),CONCATENATE("R7C",'Mapa final'!$Q$43),"")</f>
        <v/>
      </c>
      <c r="AG22" s="38" t="str">
        <f>IF(AND('Mapa final'!$AA$44="Alta",'Mapa final'!$AC$44="Mayor"),CONCATENATE("R7C",'Mapa final'!$Q$44),"")</f>
        <v/>
      </c>
      <c r="AH22" s="39" t="str">
        <f>IF(AND('Mapa final'!$AA$39="Alta",'Mapa final'!$AC$39="Catastrófico"),CONCATENATE("R7C",'Mapa final'!$Q$39),"")</f>
        <v/>
      </c>
      <c r="AI22" s="40" t="str">
        <f>IF(AND('Mapa final'!$AA$40="Alta",'Mapa final'!$AC$40="Catastrófico"),CONCATENATE("R7C",'Mapa final'!$Q$40),"")</f>
        <v/>
      </c>
      <c r="AJ22" s="40" t="str">
        <f>IF(AND('Mapa final'!$AA$41="Alta",'Mapa final'!$AC$41="Catastrófico"),CONCATENATE("R7C",'Mapa final'!$Q$41),"")</f>
        <v/>
      </c>
      <c r="AK22" s="40" t="str">
        <f>IF(AND('Mapa final'!$AA$42="Alta",'Mapa final'!$AC$42="Catastrófico"),CONCATENATE("R7C",'Mapa final'!$Q$42),"")</f>
        <v/>
      </c>
      <c r="AL22" s="40" t="str">
        <f>IF(AND('Mapa final'!$AA$43="Alta",'Mapa final'!$AC$43="Catastrófico"),CONCATENATE("R7C",'Mapa final'!$Q$43),"")</f>
        <v/>
      </c>
      <c r="AM22" s="41" t="str">
        <f>IF(AND('Mapa final'!$AA$44="Alta",'Mapa final'!$AC$44="Catastrófico"),CONCATENATE("R7C",'Mapa final'!$Q$44),"")</f>
        <v/>
      </c>
      <c r="AN22" s="67"/>
      <c r="AO22" s="383"/>
      <c r="AP22" s="384"/>
      <c r="AQ22" s="384"/>
      <c r="AR22" s="384"/>
      <c r="AS22" s="384"/>
      <c r="AT22" s="38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294"/>
      <c r="C23" s="294"/>
      <c r="D23" s="295"/>
      <c r="E23" s="393"/>
      <c r="F23" s="392"/>
      <c r="G23" s="392"/>
      <c r="H23" s="392"/>
      <c r="I23" s="392"/>
      <c r="J23" s="51" t="str">
        <f>IF(AND('Mapa final'!$AA$45="Alta",'Mapa final'!$AC$45="Leve"),CONCATENATE("R8C",'Mapa final'!$Q$45),"")</f>
        <v/>
      </c>
      <c r="K23" s="52" t="str">
        <f>IF(AND('Mapa final'!$AA$46="Alta",'Mapa final'!$AC$46="Leve"),CONCATENATE("R8C",'Mapa final'!$Q$46),"")</f>
        <v/>
      </c>
      <c r="L23" s="52" t="str">
        <f>IF(AND('Mapa final'!$AA$47="Alta",'Mapa final'!$AC$47="Leve"),CONCATENATE("R8C",'Mapa final'!$Q$47),"")</f>
        <v/>
      </c>
      <c r="M23" s="52" t="str">
        <f>IF(AND('Mapa final'!$AA$48="Alta",'Mapa final'!$AC$48="Leve"),CONCATENATE("R8C",'Mapa final'!$Q$48),"")</f>
        <v/>
      </c>
      <c r="N23" s="52" t="str">
        <f>IF(AND('Mapa final'!$AA$49="Alta",'Mapa final'!$AC$49="Leve"),CONCATENATE("R8C",'Mapa final'!$Q$49),"")</f>
        <v/>
      </c>
      <c r="O23" s="53" t="str">
        <f>IF(AND('Mapa final'!$AA$50="Alta",'Mapa final'!$AC$50="Leve"),CONCATENATE("R8C",'Mapa final'!$Q$50),"")</f>
        <v/>
      </c>
      <c r="P23" s="51" t="str">
        <f>IF(AND('Mapa final'!$AA$45="Alta",'Mapa final'!$AC$45="Menor"),CONCATENATE("R8C",'Mapa final'!$Q$45),"")</f>
        <v/>
      </c>
      <c r="Q23" s="52" t="str">
        <f>IF(AND('Mapa final'!$AA$46="Alta",'Mapa final'!$AC$46="Menor"),CONCATENATE("R8C",'Mapa final'!$Q$46),"")</f>
        <v/>
      </c>
      <c r="R23" s="52" t="str">
        <f>IF(AND('Mapa final'!$AA$47="Alta",'Mapa final'!$AC$47="Menor"),CONCATENATE("R8C",'Mapa final'!$Q$47),"")</f>
        <v/>
      </c>
      <c r="S23" s="52" t="str">
        <f>IF(AND('Mapa final'!$AA$48="Alta",'Mapa final'!$AC$48="Menor"),CONCATENATE("R8C",'Mapa final'!$Q$48),"")</f>
        <v/>
      </c>
      <c r="T23" s="52" t="str">
        <f>IF(AND('Mapa final'!$AA$49="Alta",'Mapa final'!$AC$49="Menor"),CONCATENATE("R8C",'Mapa final'!$Q$49),"")</f>
        <v/>
      </c>
      <c r="U23" s="53" t="str">
        <f>IF(AND('Mapa final'!$AA$50="Alta",'Mapa final'!$AC$50="Menor"),CONCATENATE("R8C",'Mapa final'!$Q$50),"")</f>
        <v/>
      </c>
      <c r="V23" s="36" t="str">
        <f>IF(AND('Mapa final'!$AA$45="Alta",'Mapa final'!$AC$45="Moderado"),CONCATENATE("R8C",'Mapa final'!$Q$45),"")</f>
        <v/>
      </c>
      <c r="W23" s="37" t="str">
        <f>IF(AND('Mapa final'!$AA$46="Alta",'Mapa final'!$AC$46="Moderado"),CONCATENATE("R8C",'Mapa final'!$Q$46),"")</f>
        <v/>
      </c>
      <c r="X23" s="37" t="str">
        <f>IF(AND('Mapa final'!$AA$47="Alta",'Mapa final'!$AC$47="Moderado"),CONCATENATE("R8C",'Mapa final'!$Q$47),"")</f>
        <v/>
      </c>
      <c r="Y23" s="37" t="str">
        <f>IF(AND('Mapa final'!$AA$48="Alta",'Mapa final'!$AC$48="Moderado"),CONCATENATE("R8C",'Mapa final'!$Q$48),"")</f>
        <v/>
      </c>
      <c r="Z23" s="37" t="str">
        <f>IF(AND('Mapa final'!$AA$49="Alta",'Mapa final'!$AC$49="Moderado"),CONCATENATE("R8C",'Mapa final'!$Q$49),"")</f>
        <v/>
      </c>
      <c r="AA23" s="38" t="str">
        <f>IF(AND('Mapa final'!$AA$50="Alta",'Mapa final'!$AC$50="Moderado"),CONCATENATE("R8C",'Mapa final'!$Q$50),"")</f>
        <v/>
      </c>
      <c r="AB23" s="36" t="str">
        <f>IF(AND('Mapa final'!$AA$45="Alta",'Mapa final'!$AC$45="Mayor"),CONCATENATE("R8C",'Mapa final'!$Q$45),"")</f>
        <v/>
      </c>
      <c r="AC23" s="37" t="str">
        <f>IF(AND('Mapa final'!$AA$46="Alta",'Mapa final'!$AC$46="Mayor"),CONCATENATE("R8C",'Mapa final'!$Q$46),"")</f>
        <v/>
      </c>
      <c r="AD23" s="37" t="str">
        <f>IF(AND('Mapa final'!$AA$47="Alta",'Mapa final'!$AC$47="Mayor"),CONCATENATE("R8C",'Mapa final'!$Q$47),"")</f>
        <v/>
      </c>
      <c r="AE23" s="37" t="str">
        <f>IF(AND('Mapa final'!$AA$48="Alta",'Mapa final'!$AC$48="Mayor"),CONCATENATE("R8C",'Mapa final'!$Q$48),"")</f>
        <v/>
      </c>
      <c r="AF23" s="37" t="str">
        <f>IF(AND('Mapa final'!$AA$49="Alta",'Mapa final'!$AC$49="Mayor"),CONCATENATE("R8C",'Mapa final'!$Q$49),"")</f>
        <v/>
      </c>
      <c r="AG23" s="38" t="str">
        <f>IF(AND('Mapa final'!$AA$50="Alta",'Mapa final'!$AC$50="Mayor"),CONCATENATE("R8C",'Mapa final'!$Q$50),"")</f>
        <v/>
      </c>
      <c r="AH23" s="39" t="str">
        <f>IF(AND('Mapa final'!$AA$45="Alta",'Mapa final'!$AC$45="Catastrófico"),CONCATENATE("R8C",'Mapa final'!$Q$45),"")</f>
        <v/>
      </c>
      <c r="AI23" s="40" t="str">
        <f>IF(AND('Mapa final'!$AA$46="Alta",'Mapa final'!$AC$46="Catastrófico"),CONCATENATE("R8C",'Mapa final'!$Q$46),"")</f>
        <v/>
      </c>
      <c r="AJ23" s="40" t="str">
        <f>IF(AND('Mapa final'!$AA$47="Alta",'Mapa final'!$AC$47="Catastrófico"),CONCATENATE("R8C",'Mapa final'!$Q$47),"")</f>
        <v/>
      </c>
      <c r="AK23" s="40" t="str">
        <f>IF(AND('Mapa final'!$AA$48="Alta",'Mapa final'!$AC$48="Catastrófico"),CONCATENATE("R8C",'Mapa final'!$Q$48),"")</f>
        <v/>
      </c>
      <c r="AL23" s="40" t="str">
        <f>IF(AND('Mapa final'!$AA$49="Alta",'Mapa final'!$AC$49="Catastrófico"),CONCATENATE("R8C",'Mapa final'!$Q$49),"")</f>
        <v/>
      </c>
      <c r="AM23" s="41" t="str">
        <f>IF(AND('Mapa final'!$AA$50="Alta",'Mapa final'!$AC$50="Catastrófico"),CONCATENATE("R8C",'Mapa final'!$Q$50),"")</f>
        <v/>
      </c>
      <c r="AN23" s="67"/>
      <c r="AO23" s="383"/>
      <c r="AP23" s="384"/>
      <c r="AQ23" s="384"/>
      <c r="AR23" s="384"/>
      <c r="AS23" s="384"/>
      <c r="AT23" s="38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294"/>
      <c r="C24" s="294"/>
      <c r="D24" s="295"/>
      <c r="E24" s="393"/>
      <c r="F24" s="392"/>
      <c r="G24" s="392"/>
      <c r="H24" s="392"/>
      <c r="I24" s="392"/>
      <c r="J24" s="51" t="str">
        <f>IF(AND('Mapa final'!$AA$51="Alta",'Mapa final'!$AC$51="Leve"),CONCATENATE("R9C",'Mapa final'!$Q$51),"")</f>
        <v/>
      </c>
      <c r="K24" s="52" t="str">
        <f>IF(AND('Mapa final'!$AA$52="Alta",'Mapa final'!$AC$52="Leve"),CONCATENATE("R9C",'Mapa final'!$Q$52),"")</f>
        <v/>
      </c>
      <c r="L24" s="52" t="str">
        <f>IF(AND('Mapa final'!$AA$53="Alta",'Mapa final'!$AC$53="Leve"),CONCATENATE("R9C",'Mapa final'!$Q$53),"")</f>
        <v/>
      </c>
      <c r="M24" s="52" t="str">
        <f>IF(AND('Mapa final'!$AA$54="Alta",'Mapa final'!$AC$54="Leve"),CONCATENATE("R9C",'Mapa final'!$Q$54),"")</f>
        <v/>
      </c>
      <c r="N24" s="52" t="str">
        <f>IF(AND('Mapa final'!$AA$55="Alta",'Mapa final'!$AC$55="Leve"),CONCATENATE("R9C",'Mapa final'!$Q$55),"")</f>
        <v/>
      </c>
      <c r="O24" s="53" t="str">
        <f>IF(AND('Mapa final'!$AA$56="Alta",'Mapa final'!$AC$56="Leve"),CONCATENATE("R9C",'Mapa final'!$Q$56),"")</f>
        <v/>
      </c>
      <c r="P24" s="51" t="str">
        <f>IF(AND('Mapa final'!$AA$51="Alta",'Mapa final'!$AC$51="Menor"),CONCATENATE("R9C",'Mapa final'!$Q$51),"")</f>
        <v/>
      </c>
      <c r="Q24" s="52" t="str">
        <f>IF(AND('Mapa final'!$AA$52="Alta",'Mapa final'!$AC$52="Menor"),CONCATENATE("R9C",'Mapa final'!$Q$52),"")</f>
        <v/>
      </c>
      <c r="R24" s="52" t="str">
        <f>IF(AND('Mapa final'!$AA$53="Alta",'Mapa final'!$AC$53="Menor"),CONCATENATE("R9C",'Mapa final'!$Q$53),"")</f>
        <v/>
      </c>
      <c r="S24" s="52" t="str">
        <f>IF(AND('Mapa final'!$AA$54="Alta",'Mapa final'!$AC$54="Menor"),CONCATENATE("R9C",'Mapa final'!$Q$54),"")</f>
        <v/>
      </c>
      <c r="T24" s="52" t="str">
        <f>IF(AND('Mapa final'!$AA$55="Alta",'Mapa final'!$AC$55="Menor"),CONCATENATE("R9C",'Mapa final'!$Q$55),"")</f>
        <v/>
      </c>
      <c r="U24" s="53" t="str">
        <f>IF(AND('Mapa final'!$AA$56="Alta",'Mapa final'!$AC$56="Menor"),CONCATENATE("R9C",'Mapa final'!$Q$56),"")</f>
        <v/>
      </c>
      <c r="V24" s="36" t="str">
        <f>IF(AND('Mapa final'!$AA$51="Alta",'Mapa final'!$AC$51="Moderado"),CONCATENATE("R9C",'Mapa final'!$Q$51),"")</f>
        <v/>
      </c>
      <c r="W24" s="37" t="str">
        <f>IF(AND('Mapa final'!$AA$52="Alta",'Mapa final'!$AC$52="Moderado"),CONCATENATE("R9C",'Mapa final'!$Q$52),"")</f>
        <v/>
      </c>
      <c r="X24" s="37" t="str">
        <f>IF(AND('Mapa final'!$AA$53="Alta",'Mapa final'!$AC$53="Moderado"),CONCATENATE("R9C",'Mapa final'!$Q$53),"")</f>
        <v/>
      </c>
      <c r="Y24" s="37" t="str">
        <f>IF(AND('Mapa final'!$AA$54="Alta",'Mapa final'!$AC$54="Moderado"),CONCATENATE("R9C",'Mapa final'!$Q$54),"")</f>
        <v/>
      </c>
      <c r="Z24" s="37" t="str">
        <f>IF(AND('Mapa final'!$AA$55="Alta",'Mapa final'!$AC$55="Moderado"),CONCATENATE("R9C",'Mapa final'!$Q$55),"")</f>
        <v/>
      </c>
      <c r="AA24" s="38" t="str">
        <f>IF(AND('Mapa final'!$AA$56="Alta",'Mapa final'!$AC$56="Moderado"),CONCATENATE("R9C",'Mapa final'!$Q$56),"")</f>
        <v/>
      </c>
      <c r="AB24" s="36" t="str">
        <f>IF(AND('Mapa final'!$AA$51="Alta",'Mapa final'!$AC$51="Mayor"),CONCATENATE("R9C",'Mapa final'!$Q$51),"")</f>
        <v/>
      </c>
      <c r="AC24" s="37" t="str">
        <f>IF(AND('Mapa final'!$AA$52="Alta",'Mapa final'!$AC$52="Mayor"),CONCATENATE("R9C",'Mapa final'!$Q$52),"")</f>
        <v/>
      </c>
      <c r="AD24" s="37" t="str">
        <f>IF(AND('Mapa final'!$AA$53="Alta",'Mapa final'!$AC$53="Mayor"),CONCATENATE("R9C",'Mapa final'!$Q$53),"")</f>
        <v/>
      </c>
      <c r="AE24" s="37" t="str">
        <f>IF(AND('Mapa final'!$AA$54="Alta",'Mapa final'!$AC$54="Mayor"),CONCATENATE("R9C",'Mapa final'!$Q$54),"")</f>
        <v/>
      </c>
      <c r="AF24" s="37" t="str">
        <f>IF(AND('Mapa final'!$AA$55="Alta",'Mapa final'!$AC$55="Mayor"),CONCATENATE("R9C",'Mapa final'!$Q$55),"")</f>
        <v/>
      </c>
      <c r="AG24" s="38" t="str">
        <f>IF(AND('Mapa final'!$AA$56="Alta",'Mapa final'!$AC$56="Mayor"),CONCATENATE("R9C",'Mapa final'!$Q$56),"")</f>
        <v/>
      </c>
      <c r="AH24" s="39" t="str">
        <f>IF(AND('Mapa final'!$AA$51="Alta",'Mapa final'!$AC$51="Catastrófico"),CONCATENATE("R9C",'Mapa final'!$Q$51),"")</f>
        <v/>
      </c>
      <c r="AI24" s="40" t="str">
        <f>IF(AND('Mapa final'!$AA$52="Alta",'Mapa final'!$AC$52="Catastrófico"),CONCATENATE("R9C",'Mapa final'!$Q$52),"")</f>
        <v/>
      </c>
      <c r="AJ24" s="40" t="str">
        <f>IF(AND('Mapa final'!$AA$53="Alta",'Mapa final'!$AC$53="Catastrófico"),CONCATENATE("R9C",'Mapa final'!$Q$53),"")</f>
        <v/>
      </c>
      <c r="AK24" s="40" t="str">
        <f>IF(AND('Mapa final'!$AA$54="Alta",'Mapa final'!$AC$54="Catastrófico"),CONCATENATE("R9C",'Mapa final'!$Q$54),"")</f>
        <v/>
      </c>
      <c r="AL24" s="40" t="str">
        <f>IF(AND('Mapa final'!$AA$55="Alta",'Mapa final'!$AC$55="Catastrófico"),CONCATENATE("R9C",'Mapa final'!$Q$55),"")</f>
        <v/>
      </c>
      <c r="AM24" s="41" t="str">
        <f>IF(AND('Mapa final'!$AA$56="Alta",'Mapa final'!$AC$56="Catastrófico"),CONCATENATE("R9C",'Mapa final'!$Q$56),"")</f>
        <v/>
      </c>
      <c r="AN24" s="67"/>
      <c r="AO24" s="383"/>
      <c r="AP24" s="384"/>
      <c r="AQ24" s="384"/>
      <c r="AR24" s="384"/>
      <c r="AS24" s="384"/>
      <c r="AT24" s="38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294"/>
      <c r="C25" s="294"/>
      <c r="D25" s="295"/>
      <c r="E25" s="394"/>
      <c r="F25" s="395"/>
      <c r="G25" s="395"/>
      <c r="H25" s="395"/>
      <c r="I25" s="395"/>
      <c r="J25" s="54" t="str">
        <f>IF(AND('Mapa final'!$AA$57="Alta",'Mapa final'!$AC$57="Leve"),CONCATENATE("R10C",'Mapa final'!$Q$57),"")</f>
        <v/>
      </c>
      <c r="K25" s="55" t="str">
        <f>IF(AND('Mapa final'!$AA$58="Alta",'Mapa final'!$AC$58="Leve"),CONCATENATE("R10C",'Mapa final'!$Q$58),"")</f>
        <v/>
      </c>
      <c r="L25" s="55" t="str">
        <f>IF(AND('Mapa final'!$AA$59="Alta",'Mapa final'!$AC$59="Leve"),CONCATENATE("R10C",'Mapa final'!$Q$59),"")</f>
        <v/>
      </c>
      <c r="M25" s="55" t="str">
        <f>IF(AND('Mapa final'!$AA$60="Alta",'Mapa final'!$AC$60="Leve"),CONCATENATE("R10C",'Mapa final'!$Q$60),"")</f>
        <v/>
      </c>
      <c r="N25" s="55" t="str">
        <f>IF(AND('Mapa final'!$AA$61="Alta",'Mapa final'!$AC$61="Leve"),CONCATENATE("R10C",'Mapa final'!$Q$61),"")</f>
        <v/>
      </c>
      <c r="O25" s="56" t="str">
        <f>IF(AND('Mapa final'!$AA$62="Alta",'Mapa final'!$AC$62="Leve"),CONCATENATE("R10C",'Mapa final'!$Q$62),"")</f>
        <v/>
      </c>
      <c r="P25" s="54" t="str">
        <f>IF(AND('Mapa final'!$AA$57="Alta",'Mapa final'!$AC$57="Menor"),CONCATENATE("R10C",'Mapa final'!$Q$57),"")</f>
        <v/>
      </c>
      <c r="Q25" s="55" t="str">
        <f>IF(AND('Mapa final'!$AA$58="Alta",'Mapa final'!$AC$58="Menor"),CONCATENATE("R10C",'Mapa final'!$Q$58),"")</f>
        <v/>
      </c>
      <c r="R25" s="55" t="str">
        <f>IF(AND('Mapa final'!$AA$59="Alta",'Mapa final'!$AC$59="Menor"),CONCATENATE("R10C",'Mapa final'!$Q$59),"")</f>
        <v/>
      </c>
      <c r="S25" s="55" t="str">
        <f>IF(AND('Mapa final'!$AA$60="Alta",'Mapa final'!$AC$60="Menor"),CONCATENATE("R10C",'Mapa final'!$Q$60),"")</f>
        <v/>
      </c>
      <c r="T25" s="55" t="str">
        <f>IF(AND('Mapa final'!$AA$61="Alta",'Mapa final'!$AC$61="Menor"),CONCATENATE("R10C",'Mapa final'!$Q$61),"")</f>
        <v/>
      </c>
      <c r="U25" s="56" t="str">
        <f>IF(AND('Mapa final'!$AA$62="Alta",'Mapa final'!$AC$62="Menor"),CONCATENATE("R10C",'Mapa final'!$Q$62),"")</f>
        <v/>
      </c>
      <c r="V25" s="42" t="str">
        <f>IF(AND('Mapa final'!$AA$57="Alta",'Mapa final'!$AC$57="Moderado"),CONCATENATE("R10C",'Mapa final'!$Q$57),"")</f>
        <v/>
      </c>
      <c r="W25" s="43" t="str">
        <f>IF(AND('Mapa final'!$AA$58="Alta",'Mapa final'!$AC$58="Moderado"),CONCATENATE("R10C",'Mapa final'!$Q$58),"")</f>
        <v/>
      </c>
      <c r="X25" s="43" t="str">
        <f>IF(AND('Mapa final'!$AA$59="Alta",'Mapa final'!$AC$59="Moderado"),CONCATENATE("R10C",'Mapa final'!$Q$59),"")</f>
        <v/>
      </c>
      <c r="Y25" s="43" t="str">
        <f>IF(AND('Mapa final'!$AA$60="Alta",'Mapa final'!$AC$60="Moderado"),CONCATENATE("R10C",'Mapa final'!$Q$60),"")</f>
        <v/>
      </c>
      <c r="Z25" s="43" t="str">
        <f>IF(AND('Mapa final'!$AA$61="Alta",'Mapa final'!$AC$61="Moderado"),CONCATENATE("R10C",'Mapa final'!$Q$61),"")</f>
        <v/>
      </c>
      <c r="AA25" s="44" t="str">
        <f>IF(AND('Mapa final'!$AA$62="Alta",'Mapa final'!$AC$62="Moderado"),CONCATENATE("R10C",'Mapa final'!$Q$62),"")</f>
        <v/>
      </c>
      <c r="AB25" s="42" t="str">
        <f>IF(AND('Mapa final'!$AA$57="Alta",'Mapa final'!$AC$57="Mayor"),CONCATENATE("R10C",'Mapa final'!$Q$57),"")</f>
        <v/>
      </c>
      <c r="AC25" s="43" t="str">
        <f>IF(AND('Mapa final'!$AA$58="Alta",'Mapa final'!$AC$58="Mayor"),CONCATENATE("R10C",'Mapa final'!$Q$58),"")</f>
        <v/>
      </c>
      <c r="AD25" s="43" t="str">
        <f>IF(AND('Mapa final'!$AA$59="Alta",'Mapa final'!$AC$59="Mayor"),CONCATENATE("R10C",'Mapa final'!$Q$59),"")</f>
        <v/>
      </c>
      <c r="AE25" s="43" t="str">
        <f>IF(AND('Mapa final'!$AA$60="Alta",'Mapa final'!$AC$60="Mayor"),CONCATENATE("R10C",'Mapa final'!$Q$60),"")</f>
        <v/>
      </c>
      <c r="AF25" s="43" t="str">
        <f>IF(AND('Mapa final'!$AA$61="Alta",'Mapa final'!$AC$61="Mayor"),CONCATENATE("R10C",'Mapa final'!$Q$61),"")</f>
        <v/>
      </c>
      <c r="AG25" s="44" t="str">
        <f>IF(AND('Mapa final'!$AA$62="Alta",'Mapa final'!$AC$62="Mayor"),CONCATENATE("R10C",'Mapa final'!$Q$62),"")</f>
        <v/>
      </c>
      <c r="AH25" s="45" t="str">
        <f>IF(AND('Mapa final'!$AA$57="Alta",'Mapa final'!$AC$57="Catastrófico"),CONCATENATE("R10C",'Mapa final'!$Q$57),"")</f>
        <v/>
      </c>
      <c r="AI25" s="46" t="str">
        <f>IF(AND('Mapa final'!$AA$58="Alta",'Mapa final'!$AC$58="Catastrófico"),CONCATENATE("R10C",'Mapa final'!$Q$58),"")</f>
        <v/>
      </c>
      <c r="AJ25" s="46" t="str">
        <f>IF(AND('Mapa final'!$AA$59="Alta",'Mapa final'!$AC$59="Catastrófico"),CONCATENATE("R10C",'Mapa final'!$Q$59),"")</f>
        <v/>
      </c>
      <c r="AK25" s="46" t="str">
        <f>IF(AND('Mapa final'!$AA$60="Alta",'Mapa final'!$AC$60="Catastrófico"),CONCATENATE("R10C",'Mapa final'!$Q$60),"")</f>
        <v/>
      </c>
      <c r="AL25" s="46" t="str">
        <f>IF(AND('Mapa final'!$AA$61="Alta",'Mapa final'!$AC$61="Catastrófico"),CONCATENATE("R10C",'Mapa final'!$Q$61),"")</f>
        <v/>
      </c>
      <c r="AM25" s="47" t="str">
        <f>IF(AND('Mapa final'!$AA$62="Alta",'Mapa final'!$AC$62="Catastrófico"),CONCATENATE("R10C",'Mapa final'!$Q$62),"")</f>
        <v/>
      </c>
      <c r="AN25" s="67"/>
      <c r="AO25" s="386"/>
      <c r="AP25" s="387"/>
      <c r="AQ25" s="387"/>
      <c r="AR25" s="387"/>
      <c r="AS25" s="387"/>
      <c r="AT25" s="38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294"/>
      <c r="C26" s="294"/>
      <c r="D26" s="295"/>
      <c r="E26" s="389" t="s">
        <v>112</v>
      </c>
      <c r="F26" s="390"/>
      <c r="G26" s="390"/>
      <c r="H26" s="390"/>
      <c r="I26" s="407"/>
      <c r="J26" s="48" t="str">
        <f ca="1">IF(AND('Mapa final'!$AA$10="Media",'Mapa final'!$AC$10="Leve"),CONCATENATE("R1C",'Mapa final'!$Q$10),"")</f>
        <v/>
      </c>
      <c r="K26" s="49" t="str">
        <f>IF(AND('Mapa final'!$AA$11="Media",'Mapa final'!$AC$11="Leve"),CONCATENATE("R1C",'Mapa final'!$Q$11),"")</f>
        <v/>
      </c>
      <c r="L26" s="49" t="e">
        <f>IF(AND('Mapa final'!#REF!="Media",'Mapa final'!#REF!="Leve"),CONCATENATE("R1C",'Mapa final'!#REF!),"")</f>
        <v>#REF!</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IF(AND('Mapa final'!$AA$11="Media",'Mapa final'!$AC$11="Menor"),CONCATENATE("R1C",'Mapa final'!$Q$11),"")</f>
        <v/>
      </c>
      <c r="R26" s="49" t="e">
        <f>IF(AND('Mapa final'!#REF!="Media",'Mapa final'!#REF!="Menor"),CONCATENATE("R1C",'Mapa final'!#REF!),"")</f>
        <v>#REF!</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IF(AND('Mapa final'!$AA$11="Media",'Mapa final'!$AC$11="Moderado"),CONCATENATE("R1C",'Mapa final'!$Q$11),"")</f>
        <v/>
      </c>
      <c r="X26" s="49" t="e">
        <f>IF(AND('Mapa final'!#REF!="Media",'Mapa final'!#REF!="Moderado"),CONCATENATE("R1C",'Mapa final'!#REF!),"")</f>
        <v>#REF!</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
      </c>
      <c r="AC26" s="31" t="str">
        <f>IF(AND('Mapa final'!$AA$11="Media",'Mapa final'!$AC$11="Mayor"),CONCATENATE("R1C",'Mapa final'!$Q$11),"")</f>
        <v/>
      </c>
      <c r="AD26" s="31" t="e">
        <f>IF(AND('Mapa final'!#REF!="Media",'Mapa final'!#REF!="Mayor"),CONCATENATE("R1C",'Mapa final'!#REF!),"")</f>
        <v>#REF!</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IF(AND('Mapa final'!$AA$11="Media",'Mapa final'!$AC$11="Catastrófico"),CONCATENATE("R1C",'Mapa final'!$Q$11),"")</f>
        <v/>
      </c>
      <c r="AJ26" s="34" t="e">
        <f>IF(AND('Mapa final'!#REF!="Media",'Mapa final'!#REF!="Catastrófico"),CONCATENATE("R1C",'Mapa final'!#REF!),"")</f>
        <v>#REF!</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419" t="s">
        <v>80</v>
      </c>
      <c r="AP26" s="420"/>
      <c r="AQ26" s="420"/>
      <c r="AR26" s="420"/>
      <c r="AS26" s="420"/>
      <c r="AT26" s="42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294"/>
      <c r="C27" s="294"/>
      <c r="D27" s="295"/>
      <c r="E27" s="391"/>
      <c r="F27" s="392"/>
      <c r="G27" s="392"/>
      <c r="H27" s="392"/>
      <c r="I27" s="408"/>
      <c r="J27" s="51" t="str">
        <f>IF(AND('Mapa final'!$AA$12="Media",'Mapa final'!$AC$12="Leve"),CONCATENATE("R2C",'Mapa final'!$Q$12),"")</f>
        <v/>
      </c>
      <c r="K27" s="52" t="str">
        <f>IF(AND('Mapa final'!$AA$13="Media",'Mapa final'!$AC$13="Leve"),CONCATENATE("R2C",'Mapa final'!$Q$13),"")</f>
        <v/>
      </c>
      <c r="L27" s="52" t="str">
        <f>IF(AND('Mapa final'!$AA$14="Media",'Mapa final'!$AC$14="Leve"),CONCATENATE("R2C",'Mapa final'!$Q$14),"")</f>
        <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final'!$AA$12="Media",'Mapa final'!$AC$12="Menor"),CONCATENATE("R2C",'Mapa final'!$Q$12),"")</f>
        <v/>
      </c>
      <c r="Q27" s="52" t="str">
        <f>IF(AND('Mapa final'!$AA$13="Media",'Mapa final'!$AC$13="Menor"),CONCATENATE("R2C",'Mapa final'!$Q$13),"")</f>
        <v/>
      </c>
      <c r="R27" s="52" t="str">
        <f>IF(AND('Mapa final'!$AA$14="Media",'Mapa final'!$AC$14="Menor"),CONCATENATE("R2C",'Mapa final'!$Q$14),"")</f>
        <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final'!$AA$12="Media",'Mapa final'!$AC$12="Moderado"),CONCATENATE("R2C",'Mapa final'!$Q$12),"")</f>
        <v/>
      </c>
      <c r="W27" s="52" t="str">
        <f>IF(AND('Mapa final'!$AA$13="Media",'Mapa final'!$AC$13="Moderado"),CONCATENATE("R2C",'Mapa final'!$Q$13),"")</f>
        <v/>
      </c>
      <c r="X27" s="52" t="str">
        <f>IF(AND('Mapa final'!$AA$14="Media",'Mapa final'!$AC$14="Moderado"),CONCATENATE("R2C",'Mapa final'!$Q$14),"")</f>
        <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final'!$AA$12="Media",'Mapa final'!$AC$12="Mayor"),CONCATENATE("R2C",'Mapa final'!$Q$12),"")</f>
        <v/>
      </c>
      <c r="AC27" s="37" t="str">
        <f>IF(AND('Mapa final'!$AA$13="Media",'Mapa final'!$AC$13="Mayor"),CONCATENATE("R2C",'Mapa final'!$Q$13),"")</f>
        <v/>
      </c>
      <c r="AD27" s="37" t="str">
        <f>IF(AND('Mapa final'!$AA$14="Media",'Mapa final'!$AC$14="Mayor"),CONCATENATE("R2C",'Mapa final'!$Q$14),"")</f>
        <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final'!$AA$12="Media",'Mapa final'!$AC$12="Catastrófico"),CONCATENATE("R2C",'Mapa final'!$Q$12),"")</f>
        <v/>
      </c>
      <c r="AI27" s="40" t="str">
        <f>IF(AND('Mapa final'!$AA$13="Media",'Mapa final'!$AC$13="Catastrófico"),CONCATENATE("R2C",'Mapa final'!$Q$13),"")</f>
        <v/>
      </c>
      <c r="AJ27" s="40" t="str">
        <f>IF(AND('Mapa final'!$AA$14="Media",'Mapa final'!$AC$14="Catastrófico"),CONCATENATE("R2C",'Mapa final'!$Q$14),"")</f>
        <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422"/>
      <c r="AP27" s="423"/>
      <c r="AQ27" s="423"/>
      <c r="AR27" s="423"/>
      <c r="AS27" s="423"/>
      <c r="AT27" s="42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294"/>
      <c r="C28" s="294"/>
      <c r="D28" s="295"/>
      <c r="E28" s="393"/>
      <c r="F28" s="392"/>
      <c r="G28" s="392"/>
      <c r="H28" s="392"/>
      <c r="I28" s="408"/>
      <c r="J28" s="51" t="str">
        <f>IF(AND('Mapa final'!$AA$15="Media",'Mapa final'!$AC$15="Leve"),CONCATENATE("R3C",'Mapa final'!$Q$15),"")</f>
        <v/>
      </c>
      <c r="K28" s="52" t="str">
        <f>IF(AND('Mapa final'!$AA$16="Media",'Mapa final'!$AC$16="Leve"),CONCATENATE("R3C",'Mapa final'!$Q$16),"")</f>
        <v/>
      </c>
      <c r="L28" s="52" t="str">
        <f>IF(AND('Mapa final'!$AA$17="Media",'Mapa final'!$AC$17="Leve"),CONCATENATE("R3C",'Mapa final'!$Q$17),"")</f>
        <v/>
      </c>
      <c r="M28" s="52" t="str">
        <f>IF(AND('Mapa final'!$AA$18="Media",'Mapa final'!$AC$18="Leve"),CONCATENATE("R3C",'Mapa final'!$Q$18),"")</f>
        <v/>
      </c>
      <c r="N28" s="52" t="str">
        <f>IF(AND('Mapa final'!$AA$19="Media",'Mapa final'!$AC$19="Leve"),CONCATENATE("R3C",'Mapa final'!$Q$19),"")</f>
        <v/>
      </c>
      <c r="O28" s="53" t="str">
        <f>IF(AND('Mapa final'!$AA$20="Media",'Mapa final'!$AC$20="Leve"),CONCATENATE("R3C",'Mapa final'!$Q$20),"")</f>
        <v/>
      </c>
      <c r="P28" s="51" t="str">
        <f>IF(AND('Mapa final'!$AA$15="Media",'Mapa final'!$AC$15="Menor"),CONCATENATE("R3C",'Mapa final'!$Q$15),"")</f>
        <v/>
      </c>
      <c r="Q28" s="52" t="str">
        <f>IF(AND('Mapa final'!$AA$16="Media",'Mapa final'!$AC$16="Menor"),CONCATENATE("R3C",'Mapa final'!$Q$16),"")</f>
        <v/>
      </c>
      <c r="R28" s="52" t="str">
        <f>IF(AND('Mapa final'!$AA$17="Media",'Mapa final'!$AC$17="Menor"),CONCATENATE("R3C",'Mapa final'!$Q$17),"")</f>
        <v/>
      </c>
      <c r="S28" s="52" t="str">
        <f>IF(AND('Mapa final'!$AA$18="Media",'Mapa final'!$AC$18="Menor"),CONCATENATE("R3C",'Mapa final'!$Q$18),"")</f>
        <v/>
      </c>
      <c r="T28" s="52" t="str">
        <f>IF(AND('Mapa final'!$AA$19="Media",'Mapa final'!$AC$19="Menor"),CONCATENATE("R3C",'Mapa final'!$Q$19),"")</f>
        <v/>
      </c>
      <c r="U28" s="53" t="str">
        <f>IF(AND('Mapa final'!$AA$20="Media",'Mapa final'!$AC$20="Menor"),CONCATENATE("R3C",'Mapa final'!$Q$20),"")</f>
        <v/>
      </c>
      <c r="V28" s="51" t="str">
        <f>IF(AND('Mapa final'!$AA$15="Media",'Mapa final'!$AC$15="Moderado"),CONCATENATE("R3C",'Mapa final'!$Q$15),"")</f>
        <v/>
      </c>
      <c r="W28" s="52" t="str">
        <f>IF(AND('Mapa final'!$AA$16="Media",'Mapa final'!$AC$16="Moderado"),CONCATENATE("R3C",'Mapa final'!$Q$16),"")</f>
        <v/>
      </c>
      <c r="X28" s="52" t="str">
        <f>IF(AND('Mapa final'!$AA$17="Media",'Mapa final'!$AC$17="Moderado"),CONCATENATE("R3C",'Mapa final'!$Q$17),"")</f>
        <v/>
      </c>
      <c r="Y28" s="52" t="str">
        <f>IF(AND('Mapa final'!$AA$18="Media",'Mapa final'!$AC$18="Moderado"),CONCATENATE("R3C",'Mapa final'!$Q$18),"")</f>
        <v/>
      </c>
      <c r="Z28" s="52" t="str">
        <f>IF(AND('Mapa final'!$AA$19="Media",'Mapa final'!$AC$19="Moderado"),CONCATENATE("R3C",'Mapa final'!$Q$19),"")</f>
        <v/>
      </c>
      <c r="AA28" s="53" t="str">
        <f>IF(AND('Mapa final'!$AA$20="Media",'Mapa final'!$AC$20="Moderado"),CONCATENATE("R3C",'Mapa final'!$Q$20),"")</f>
        <v/>
      </c>
      <c r="AB28" s="36" t="str">
        <f>IF(AND('Mapa final'!$AA$15="Media",'Mapa final'!$AC$15="Mayor"),CONCATENATE("R3C",'Mapa final'!$Q$15),"")</f>
        <v/>
      </c>
      <c r="AC28" s="37" t="str">
        <f>IF(AND('Mapa final'!$AA$16="Media",'Mapa final'!$AC$16="Mayor"),CONCATENATE("R3C",'Mapa final'!$Q$16),"")</f>
        <v/>
      </c>
      <c r="AD28" s="37" t="str">
        <f>IF(AND('Mapa final'!$AA$17="Media",'Mapa final'!$AC$17="Mayor"),CONCATENATE("R3C",'Mapa final'!$Q$17),"")</f>
        <v/>
      </c>
      <c r="AE28" s="37" t="str">
        <f>IF(AND('Mapa final'!$AA$18="Media",'Mapa final'!$AC$18="Mayor"),CONCATENATE("R3C",'Mapa final'!$Q$18),"")</f>
        <v/>
      </c>
      <c r="AF28" s="37" t="str">
        <f>IF(AND('Mapa final'!$AA$19="Media",'Mapa final'!$AC$19="Mayor"),CONCATENATE("R3C",'Mapa final'!$Q$19),"")</f>
        <v/>
      </c>
      <c r="AG28" s="38" t="str">
        <f>IF(AND('Mapa final'!$AA$20="Media",'Mapa final'!$AC$20="Mayor"),CONCATENATE("R3C",'Mapa final'!$Q$20),"")</f>
        <v/>
      </c>
      <c r="AH28" s="39" t="str">
        <f>IF(AND('Mapa final'!$AA$15="Media",'Mapa final'!$AC$15="Catastrófico"),CONCATENATE("R3C",'Mapa final'!$Q$15),"")</f>
        <v/>
      </c>
      <c r="AI28" s="40" t="str">
        <f>IF(AND('Mapa final'!$AA$16="Media",'Mapa final'!$AC$16="Catastrófico"),CONCATENATE("R3C",'Mapa final'!$Q$16),"")</f>
        <v/>
      </c>
      <c r="AJ28" s="40" t="str">
        <f>IF(AND('Mapa final'!$AA$17="Media",'Mapa final'!$AC$17="Catastrófico"),CONCATENATE("R3C",'Mapa final'!$Q$17),"")</f>
        <v/>
      </c>
      <c r="AK28" s="40" t="str">
        <f>IF(AND('Mapa final'!$AA$18="Media",'Mapa final'!$AC$18="Catastrófico"),CONCATENATE("R3C",'Mapa final'!$Q$18),"")</f>
        <v/>
      </c>
      <c r="AL28" s="40" t="str">
        <f>IF(AND('Mapa final'!$AA$19="Media",'Mapa final'!$AC$19="Catastrófico"),CONCATENATE("R3C",'Mapa final'!$Q$19),"")</f>
        <v/>
      </c>
      <c r="AM28" s="41" t="str">
        <f>IF(AND('Mapa final'!$AA$20="Media",'Mapa final'!$AC$20="Catastrófico"),CONCATENATE("R3C",'Mapa final'!$Q$20),"")</f>
        <v/>
      </c>
      <c r="AN28" s="67"/>
      <c r="AO28" s="422"/>
      <c r="AP28" s="423"/>
      <c r="AQ28" s="423"/>
      <c r="AR28" s="423"/>
      <c r="AS28" s="423"/>
      <c r="AT28" s="42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294"/>
      <c r="C29" s="294"/>
      <c r="D29" s="295"/>
      <c r="E29" s="393"/>
      <c r="F29" s="392"/>
      <c r="G29" s="392"/>
      <c r="H29" s="392"/>
      <c r="I29" s="408"/>
      <c r="J29" s="51" t="str">
        <f>IF(AND('Mapa final'!$AA$21="Media",'Mapa final'!$AC$21="Leve"),CONCATENATE("R4C",'Mapa final'!$Q$21),"")</f>
        <v/>
      </c>
      <c r="K29" s="52" t="str">
        <f>IF(AND('Mapa final'!$AA$22="Media",'Mapa final'!$AC$22="Leve"),CONCATENATE("R4C",'Mapa final'!$Q$22),"")</f>
        <v/>
      </c>
      <c r="L29" s="52" t="str">
        <f>IF(AND('Mapa final'!$AA$23="Media",'Mapa final'!$AC$23="Leve"),CONCATENATE("R4C",'Mapa final'!$Q$23),"")</f>
        <v/>
      </c>
      <c r="M29" s="52" t="str">
        <f>IF(AND('Mapa final'!$AA$24="Media",'Mapa final'!$AC$24="Leve"),CONCATENATE("R4C",'Mapa final'!$Q$24),"")</f>
        <v/>
      </c>
      <c r="N29" s="52" t="str">
        <f>IF(AND('Mapa final'!$AA$25="Media",'Mapa final'!$AC$25="Leve"),CONCATENATE("R4C",'Mapa final'!$Q$25),"")</f>
        <v/>
      </c>
      <c r="O29" s="53" t="str">
        <f>IF(AND('Mapa final'!$AA$26="Media",'Mapa final'!$AC$26="Leve"),CONCATENATE("R4C",'Mapa final'!$Q$26),"")</f>
        <v/>
      </c>
      <c r="P29" s="51" t="str">
        <f>IF(AND('Mapa final'!$AA$21="Media",'Mapa final'!$AC$21="Menor"),CONCATENATE("R4C",'Mapa final'!$Q$21),"")</f>
        <v/>
      </c>
      <c r="Q29" s="52" t="str">
        <f>IF(AND('Mapa final'!$AA$22="Media",'Mapa final'!$AC$22="Menor"),CONCATENATE("R4C",'Mapa final'!$Q$22),"")</f>
        <v/>
      </c>
      <c r="R29" s="52" t="str">
        <f>IF(AND('Mapa final'!$AA$23="Media",'Mapa final'!$AC$23="Menor"),CONCATENATE("R4C",'Mapa final'!$Q$23),"")</f>
        <v/>
      </c>
      <c r="S29" s="52" t="str">
        <f>IF(AND('Mapa final'!$AA$24="Media",'Mapa final'!$AC$24="Menor"),CONCATENATE("R4C",'Mapa final'!$Q$24),"")</f>
        <v/>
      </c>
      <c r="T29" s="52" t="str">
        <f>IF(AND('Mapa final'!$AA$25="Media",'Mapa final'!$AC$25="Menor"),CONCATENATE("R4C",'Mapa final'!$Q$25),"")</f>
        <v/>
      </c>
      <c r="U29" s="53" t="str">
        <f>IF(AND('Mapa final'!$AA$26="Media",'Mapa final'!$AC$26="Menor"),CONCATENATE("R4C",'Mapa final'!$Q$26),"")</f>
        <v/>
      </c>
      <c r="V29" s="51" t="str">
        <f>IF(AND('Mapa final'!$AA$21="Media",'Mapa final'!$AC$21="Moderado"),CONCATENATE("R4C",'Mapa final'!$Q$21),"")</f>
        <v/>
      </c>
      <c r="W29" s="52" t="str">
        <f>IF(AND('Mapa final'!$AA$22="Media",'Mapa final'!$AC$22="Moderado"),CONCATENATE("R4C",'Mapa final'!$Q$22),"")</f>
        <v/>
      </c>
      <c r="X29" s="52" t="str">
        <f>IF(AND('Mapa final'!$AA$23="Media",'Mapa final'!$AC$23="Moderado"),CONCATENATE("R4C",'Mapa final'!$Q$23),"")</f>
        <v/>
      </c>
      <c r="Y29" s="52" t="str">
        <f>IF(AND('Mapa final'!$AA$24="Media",'Mapa final'!$AC$24="Moderado"),CONCATENATE("R4C",'Mapa final'!$Q$24),"")</f>
        <v/>
      </c>
      <c r="Z29" s="52" t="str">
        <f>IF(AND('Mapa final'!$AA$25="Media",'Mapa final'!$AC$25="Moderado"),CONCATENATE("R4C",'Mapa final'!$Q$25),"")</f>
        <v/>
      </c>
      <c r="AA29" s="53" t="str">
        <f>IF(AND('Mapa final'!$AA$26="Media",'Mapa final'!$AC$26="Moderado"),CONCATENATE("R4C",'Mapa final'!$Q$26),"")</f>
        <v/>
      </c>
      <c r="AB29" s="36" t="str">
        <f>IF(AND('Mapa final'!$AA$21="Media",'Mapa final'!$AC$21="Mayor"),CONCATENATE("R4C",'Mapa final'!$Q$21),"")</f>
        <v/>
      </c>
      <c r="AC29" s="37" t="str">
        <f>IF(AND('Mapa final'!$AA$22="Media",'Mapa final'!$AC$22="Mayor"),CONCATENATE("R4C",'Mapa final'!$Q$22),"")</f>
        <v/>
      </c>
      <c r="AD29" s="37" t="str">
        <f>IF(AND('Mapa final'!$AA$23="Media",'Mapa final'!$AC$23="Mayor"),CONCATENATE("R4C",'Mapa final'!$Q$23),"")</f>
        <v/>
      </c>
      <c r="AE29" s="37" t="str">
        <f>IF(AND('Mapa final'!$AA$24="Media",'Mapa final'!$AC$24="Mayor"),CONCATENATE("R4C",'Mapa final'!$Q$24),"")</f>
        <v/>
      </c>
      <c r="AF29" s="37" t="str">
        <f>IF(AND('Mapa final'!$AA$25="Media",'Mapa final'!$AC$25="Mayor"),CONCATENATE("R4C",'Mapa final'!$Q$25),"")</f>
        <v/>
      </c>
      <c r="AG29" s="38" t="str">
        <f>IF(AND('Mapa final'!$AA$26="Media",'Mapa final'!$AC$26="Mayor"),CONCATENATE("R4C",'Mapa final'!$Q$26),"")</f>
        <v/>
      </c>
      <c r="AH29" s="39" t="str">
        <f>IF(AND('Mapa final'!$AA$21="Media",'Mapa final'!$AC$21="Catastrófico"),CONCATENATE("R4C",'Mapa final'!$Q$21),"")</f>
        <v/>
      </c>
      <c r="AI29" s="40" t="str">
        <f>IF(AND('Mapa final'!$AA$22="Media",'Mapa final'!$AC$22="Catastrófico"),CONCATENATE("R4C",'Mapa final'!$Q$22),"")</f>
        <v/>
      </c>
      <c r="AJ29" s="40" t="str">
        <f>IF(AND('Mapa final'!$AA$23="Media",'Mapa final'!$AC$23="Catastrófico"),CONCATENATE("R4C",'Mapa final'!$Q$23),"")</f>
        <v/>
      </c>
      <c r="AK29" s="40" t="str">
        <f>IF(AND('Mapa final'!$AA$24="Media",'Mapa final'!$AC$24="Catastrófico"),CONCATENATE("R4C",'Mapa final'!$Q$24),"")</f>
        <v/>
      </c>
      <c r="AL29" s="40" t="str">
        <f>IF(AND('Mapa final'!$AA$25="Media",'Mapa final'!$AC$25="Catastrófico"),CONCATENATE("R4C",'Mapa final'!$Q$25),"")</f>
        <v/>
      </c>
      <c r="AM29" s="41" t="str">
        <f>IF(AND('Mapa final'!$AA$26="Media",'Mapa final'!$AC$26="Catastrófico"),CONCATENATE("R4C",'Mapa final'!$Q$26),"")</f>
        <v/>
      </c>
      <c r="AN29" s="67"/>
      <c r="AO29" s="422"/>
      <c r="AP29" s="423"/>
      <c r="AQ29" s="423"/>
      <c r="AR29" s="423"/>
      <c r="AS29" s="423"/>
      <c r="AT29" s="42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294"/>
      <c r="C30" s="294"/>
      <c r="D30" s="295"/>
      <c r="E30" s="393"/>
      <c r="F30" s="392"/>
      <c r="G30" s="392"/>
      <c r="H30" s="392"/>
      <c r="I30" s="408"/>
      <c r="J30" s="51" t="str">
        <f>IF(AND('Mapa final'!$AA$27="Media",'Mapa final'!$AC$27="Leve"),CONCATENATE("R5C",'Mapa final'!$Q$27),"")</f>
        <v/>
      </c>
      <c r="K30" s="52" t="str">
        <f>IF(AND('Mapa final'!$AA$28="Media",'Mapa final'!$AC$28="Leve"),CONCATENATE("R5C",'Mapa final'!$Q$28),"")</f>
        <v/>
      </c>
      <c r="L30" s="52" t="str">
        <f>IF(AND('Mapa final'!$AA$29="Media",'Mapa final'!$AC$29="Leve"),CONCATENATE("R5C",'Mapa final'!$Q$29),"")</f>
        <v/>
      </c>
      <c r="M30" s="52" t="str">
        <f>IF(AND('Mapa final'!$AA$30="Media",'Mapa final'!$AC$30="Leve"),CONCATENATE("R5C",'Mapa final'!$Q$30),"")</f>
        <v/>
      </c>
      <c r="N30" s="52" t="str">
        <f>IF(AND('Mapa final'!$AA$31="Media",'Mapa final'!$AC$31="Leve"),CONCATENATE("R5C",'Mapa final'!$Q$31),"")</f>
        <v/>
      </c>
      <c r="O30" s="53" t="str">
        <f>IF(AND('Mapa final'!$AA$32="Media",'Mapa final'!$AC$32="Leve"),CONCATENATE("R5C",'Mapa final'!$Q$32),"")</f>
        <v/>
      </c>
      <c r="P30" s="51" t="str">
        <f>IF(AND('Mapa final'!$AA$27="Media",'Mapa final'!$AC$27="Menor"),CONCATENATE("R5C",'Mapa final'!$Q$27),"")</f>
        <v/>
      </c>
      <c r="Q30" s="52" t="str">
        <f>IF(AND('Mapa final'!$AA$28="Media",'Mapa final'!$AC$28="Menor"),CONCATENATE("R5C",'Mapa final'!$Q$28),"")</f>
        <v/>
      </c>
      <c r="R30" s="52" t="str">
        <f>IF(AND('Mapa final'!$AA$29="Media",'Mapa final'!$AC$29="Menor"),CONCATENATE("R5C",'Mapa final'!$Q$29),"")</f>
        <v/>
      </c>
      <c r="S30" s="52" t="str">
        <f>IF(AND('Mapa final'!$AA$30="Media",'Mapa final'!$AC$30="Menor"),CONCATENATE("R5C",'Mapa final'!$Q$30),"")</f>
        <v/>
      </c>
      <c r="T30" s="52" t="str">
        <f>IF(AND('Mapa final'!$AA$31="Media",'Mapa final'!$AC$31="Menor"),CONCATENATE("R5C",'Mapa final'!$Q$31),"")</f>
        <v/>
      </c>
      <c r="U30" s="53" t="str">
        <f>IF(AND('Mapa final'!$AA$32="Media",'Mapa final'!$AC$32="Menor"),CONCATENATE("R5C",'Mapa final'!$Q$32),"")</f>
        <v/>
      </c>
      <c r="V30" s="51" t="str">
        <f>IF(AND('Mapa final'!$AA$27="Media",'Mapa final'!$AC$27="Moderado"),CONCATENATE("R5C",'Mapa final'!$Q$27),"")</f>
        <v/>
      </c>
      <c r="W30" s="52" t="str">
        <f>IF(AND('Mapa final'!$AA$28="Media",'Mapa final'!$AC$28="Moderado"),CONCATENATE("R5C",'Mapa final'!$Q$28),"")</f>
        <v/>
      </c>
      <c r="X30" s="52" t="str">
        <f>IF(AND('Mapa final'!$AA$29="Media",'Mapa final'!$AC$29="Moderado"),CONCATENATE("R5C",'Mapa final'!$Q$29),"")</f>
        <v/>
      </c>
      <c r="Y30" s="52" t="str">
        <f>IF(AND('Mapa final'!$AA$30="Media",'Mapa final'!$AC$30="Moderado"),CONCATENATE("R5C",'Mapa final'!$Q$30),"")</f>
        <v/>
      </c>
      <c r="Z30" s="52" t="str">
        <f>IF(AND('Mapa final'!$AA$31="Media",'Mapa final'!$AC$31="Moderado"),CONCATENATE("R5C",'Mapa final'!$Q$31),"")</f>
        <v/>
      </c>
      <c r="AA30" s="53" t="str">
        <f>IF(AND('Mapa final'!$AA$32="Media",'Mapa final'!$AC$32="Moderado"),CONCATENATE("R5C",'Mapa final'!$Q$32),"")</f>
        <v/>
      </c>
      <c r="AB30" s="36" t="str">
        <f>IF(AND('Mapa final'!$AA$27="Media",'Mapa final'!$AC$27="Mayor"),CONCATENATE("R5C",'Mapa final'!$Q$27),"")</f>
        <v/>
      </c>
      <c r="AC30" s="37" t="str">
        <f>IF(AND('Mapa final'!$AA$28="Media",'Mapa final'!$AC$28="Mayor"),CONCATENATE("R5C",'Mapa final'!$Q$28),"")</f>
        <v/>
      </c>
      <c r="AD30" s="37" t="str">
        <f>IF(AND('Mapa final'!$AA$29="Media",'Mapa final'!$AC$29="Mayor"),CONCATENATE("R5C",'Mapa final'!$Q$29),"")</f>
        <v/>
      </c>
      <c r="AE30" s="37" t="str">
        <f>IF(AND('Mapa final'!$AA$30="Media",'Mapa final'!$AC$30="Mayor"),CONCATENATE("R5C",'Mapa final'!$Q$30),"")</f>
        <v/>
      </c>
      <c r="AF30" s="37" t="str">
        <f>IF(AND('Mapa final'!$AA$31="Media",'Mapa final'!$AC$31="Mayor"),CONCATENATE("R5C",'Mapa final'!$Q$31),"")</f>
        <v/>
      </c>
      <c r="AG30" s="38" t="str">
        <f>IF(AND('Mapa final'!$AA$32="Media",'Mapa final'!$AC$32="Mayor"),CONCATENATE("R5C",'Mapa final'!$Q$32),"")</f>
        <v/>
      </c>
      <c r="AH30" s="39" t="str">
        <f>IF(AND('Mapa final'!$AA$27="Media",'Mapa final'!$AC$27="Catastrófico"),CONCATENATE("R5C",'Mapa final'!$Q$27),"")</f>
        <v/>
      </c>
      <c r="AI30" s="40" t="str">
        <f>IF(AND('Mapa final'!$AA$28="Media",'Mapa final'!$AC$28="Catastrófico"),CONCATENATE("R5C",'Mapa final'!$Q$28),"")</f>
        <v/>
      </c>
      <c r="AJ30" s="40" t="str">
        <f>IF(AND('Mapa final'!$AA$29="Media",'Mapa final'!$AC$29="Catastrófico"),CONCATENATE("R5C",'Mapa final'!$Q$29),"")</f>
        <v/>
      </c>
      <c r="AK30" s="40" t="str">
        <f>IF(AND('Mapa final'!$AA$30="Media",'Mapa final'!$AC$30="Catastrófico"),CONCATENATE("R5C",'Mapa final'!$Q$30),"")</f>
        <v/>
      </c>
      <c r="AL30" s="40" t="str">
        <f>IF(AND('Mapa final'!$AA$31="Media",'Mapa final'!$AC$31="Catastrófico"),CONCATENATE("R5C",'Mapa final'!$Q$31),"")</f>
        <v/>
      </c>
      <c r="AM30" s="41" t="str">
        <f>IF(AND('Mapa final'!$AA$32="Media",'Mapa final'!$AC$32="Catastrófico"),CONCATENATE("R5C",'Mapa final'!$Q$32),"")</f>
        <v/>
      </c>
      <c r="AN30" s="67"/>
      <c r="AO30" s="422"/>
      <c r="AP30" s="423"/>
      <c r="AQ30" s="423"/>
      <c r="AR30" s="423"/>
      <c r="AS30" s="423"/>
      <c r="AT30" s="42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294"/>
      <c r="C31" s="294"/>
      <c r="D31" s="295"/>
      <c r="E31" s="393"/>
      <c r="F31" s="392"/>
      <c r="G31" s="392"/>
      <c r="H31" s="392"/>
      <c r="I31" s="408"/>
      <c r="J31" s="51" t="str">
        <f>IF(AND('Mapa final'!$AA$33="Media",'Mapa final'!$AC$33="Leve"),CONCATENATE("R6C",'Mapa final'!$Q$33),"")</f>
        <v/>
      </c>
      <c r="K31" s="52" t="str">
        <f>IF(AND('Mapa final'!$AA$34="Media",'Mapa final'!$AC$34="Leve"),CONCATENATE("R6C",'Mapa final'!$Q$34),"")</f>
        <v/>
      </c>
      <c r="L31" s="52" t="str">
        <f>IF(AND('Mapa final'!$AA$35="Media",'Mapa final'!$AC$35="Leve"),CONCATENATE("R6C",'Mapa final'!$Q$35),"")</f>
        <v/>
      </c>
      <c r="M31" s="52" t="str">
        <f>IF(AND('Mapa final'!$AA$36="Media",'Mapa final'!$AC$36="Leve"),CONCATENATE("R6C",'Mapa final'!$Q$36),"")</f>
        <v/>
      </c>
      <c r="N31" s="52" t="str">
        <f>IF(AND('Mapa final'!$AA$37="Media",'Mapa final'!$AC$37="Leve"),CONCATENATE("R6C",'Mapa final'!$Q$37),"")</f>
        <v/>
      </c>
      <c r="O31" s="53" t="str">
        <f>IF(AND('Mapa final'!$AA$38="Media",'Mapa final'!$AC$38="Leve"),CONCATENATE("R6C",'Mapa final'!$Q$38),"")</f>
        <v/>
      </c>
      <c r="P31" s="51" t="str">
        <f>IF(AND('Mapa final'!$AA$33="Media",'Mapa final'!$AC$33="Menor"),CONCATENATE("R6C",'Mapa final'!$Q$33),"")</f>
        <v/>
      </c>
      <c r="Q31" s="52" t="str">
        <f>IF(AND('Mapa final'!$AA$34="Media",'Mapa final'!$AC$34="Menor"),CONCATENATE("R6C",'Mapa final'!$Q$34),"")</f>
        <v/>
      </c>
      <c r="R31" s="52" t="str">
        <f>IF(AND('Mapa final'!$AA$35="Media",'Mapa final'!$AC$35="Menor"),CONCATENATE("R6C",'Mapa final'!$Q$35),"")</f>
        <v/>
      </c>
      <c r="S31" s="52" t="str">
        <f>IF(AND('Mapa final'!$AA$36="Media",'Mapa final'!$AC$36="Menor"),CONCATENATE("R6C",'Mapa final'!$Q$36),"")</f>
        <v/>
      </c>
      <c r="T31" s="52" t="str">
        <f>IF(AND('Mapa final'!$AA$37="Media",'Mapa final'!$AC$37="Menor"),CONCATENATE("R6C",'Mapa final'!$Q$37),"")</f>
        <v/>
      </c>
      <c r="U31" s="53" t="str">
        <f>IF(AND('Mapa final'!$AA$38="Media",'Mapa final'!$AC$38="Menor"),CONCATENATE("R6C",'Mapa final'!$Q$38),"")</f>
        <v/>
      </c>
      <c r="V31" s="51" t="str">
        <f>IF(AND('Mapa final'!$AA$33="Media",'Mapa final'!$AC$33="Moderado"),CONCATENATE("R6C",'Mapa final'!$Q$33),"")</f>
        <v/>
      </c>
      <c r="W31" s="52" t="str">
        <f>IF(AND('Mapa final'!$AA$34="Media",'Mapa final'!$AC$34="Moderado"),CONCATENATE("R6C",'Mapa final'!$Q$34),"")</f>
        <v/>
      </c>
      <c r="X31" s="52" t="str">
        <f>IF(AND('Mapa final'!$AA$35="Media",'Mapa final'!$AC$35="Moderado"),CONCATENATE("R6C",'Mapa final'!$Q$35),"")</f>
        <v/>
      </c>
      <c r="Y31" s="52" t="str">
        <f>IF(AND('Mapa final'!$AA$36="Media",'Mapa final'!$AC$36="Moderado"),CONCATENATE("R6C",'Mapa final'!$Q$36),"")</f>
        <v/>
      </c>
      <c r="Z31" s="52" t="str">
        <f>IF(AND('Mapa final'!$AA$37="Media",'Mapa final'!$AC$37="Moderado"),CONCATENATE("R6C",'Mapa final'!$Q$37),"")</f>
        <v/>
      </c>
      <c r="AA31" s="53" t="str">
        <f>IF(AND('Mapa final'!$AA$38="Media",'Mapa final'!$AC$38="Moderado"),CONCATENATE("R6C",'Mapa final'!$Q$38),"")</f>
        <v/>
      </c>
      <c r="AB31" s="36" t="str">
        <f>IF(AND('Mapa final'!$AA$33="Media",'Mapa final'!$AC$33="Mayor"),CONCATENATE("R6C",'Mapa final'!$Q$33),"")</f>
        <v/>
      </c>
      <c r="AC31" s="37" t="str">
        <f>IF(AND('Mapa final'!$AA$34="Media",'Mapa final'!$AC$34="Mayor"),CONCATENATE("R6C",'Mapa final'!$Q$34),"")</f>
        <v/>
      </c>
      <c r="AD31" s="37" t="str">
        <f>IF(AND('Mapa final'!$AA$35="Media",'Mapa final'!$AC$35="Mayor"),CONCATENATE("R6C",'Mapa final'!$Q$35),"")</f>
        <v/>
      </c>
      <c r="AE31" s="37" t="str">
        <f>IF(AND('Mapa final'!$AA$36="Media",'Mapa final'!$AC$36="Mayor"),CONCATENATE("R6C",'Mapa final'!$Q$36),"")</f>
        <v/>
      </c>
      <c r="AF31" s="37" t="str">
        <f>IF(AND('Mapa final'!$AA$37="Media",'Mapa final'!$AC$37="Mayor"),CONCATENATE("R6C",'Mapa final'!$Q$37),"")</f>
        <v/>
      </c>
      <c r="AG31" s="38" t="str">
        <f>IF(AND('Mapa final'!$AA$38="Media",'Mapa final'!$AC$38="Mayor"),CONCATENATE("R6C",'Mapa final'!$Q$38),"")</f>
        <v/>
      </c>
      <c r="AH31" s="39" t="str">
        <f>IF(AND('Mapa final'!$AA$33="Media",'Mapa final'!$AC$33="Catastrófico"),CONCATENATE("R6C",'Mapa final'!$Q$33),"")</f>
        <v/>
      </c>
      <c r="AI31" s="40" t="str">
        <f>IF(AND('Mapa final'!$AA$34="Media",'Mapa final'!$AC$34="Catastrófico"),CONCATENATE("R6C",'Mapa final'!$Q$34),"")</f>
        <v/>
      </c>
      <c r="AJ31" s="40" t="str">
        <f>IF(AND('Mapa final'!$AA$35="Media",'Mapa final'!$AC$35="Catastrófico"),CONCATENATE("R6C",'Mapa final'!$Q$35),"")</f>
        <v/>
      </c>
      <c r="AK31" s="40" t="str">
        <f>IF(AND('Mapa final'!$AA$36="Media",'Mapa final'!$AC$36="Catastrófico"),CONCATENATE("R6C",'Mapa final'!$Q$36),"")</f>
        <v/>
      </c>
      <c r="AL31" s="40" t="str">
        <f>IF(AND('Mapa final'!$AA$37="Media",'Mapa final'!$AC$37="Catastrófico"),CONCATENATE("R6C",'Mapa final'!$Q$37),"")</f>
        <v/>
      </c>
      <c r="AM31" s="41" t="str">
        <f>IF(AND('Mapa final'!$AA$38="Media",'Mapa final'!$AC$38="Catastrófico"),CONCATENATE("R6C",'Mapa final'!$Q$38),"")</f>
        <v/>
      </c>
      <c r="AN31" s="67"/>
      <c r="AO31" s="422"/>
      <c r="AP31" s="423"/>
      <c r="AQ31" s="423"/>
      <c r="AR31" s="423"/>
      <c r="AS31" s="423"/>
      <c r="AT31" s="42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294"/>
      <c r="C32" s="294"/>
      <c r="D32" s="295"/>
      <c r="E32" s="393"/>
      <c r="F32" s="392"/>
      <c r="G32" s="392"/>
      <c r="H32" s="392"/>
      <c r="I32" s="408"/>
      <c r="J32" s="51" t="str">
        <f>IF(AND('Mapa final'!$AA$39="Media",'Mapa final'!$AC$39="Leve"),CONCATENATE("R7C",'Mapa final'!$Q$39),"")</f>
        <v/>
      </c>
      <c r="K32" s="52" t="str">
        <f>IF(AND('Mapa final'!$AA$40="Media",'Mapa final'!$AC$40="Leve"),CONCATENATE("R7C",'Mapa final'!$Q$40),"")</f>
        <v/>
      </c>
      <c r="L32" s="52" t="str">
        <f>IF(AND('Mapa final'!$AA$41="Media",'Mapa final'!$AC$41="Leve"),CONCATENATE("R7C",'Mapa final'!$Q$41),"")</f>
        <v/>
      </c>
      <c r="M32" s="52" t="str">
        <f>IF(AND('Mapa final'!$AA$42="Media",'Mapa final'!$AC$42="Leve"),CONCATENATE("R7C",'Mapa final'!$Q$42),"")</f>
        <v/>
      </c>
      <c r="N32" s="52" t="str">
        <f>IF(AND('Mapa final'!$AA$43="Media",'Mapa final'!$AC$43="Leve"),CONCATENATE("R7C",'Mapa final'!$Q$43),"")</f>
        <v/>
      </c>
      <c r="O32" s="53" t="str">
        <f>IF(AND('Mapa final'!$AA$44="Media",'Mapa final'!$AC$44="Leve"),CONCATENATE("R7C",'Mapa final'!$Q$44),"")</f>
        <v/>
      </c>
      <c r="P32" s="51" t="str">
        <f>IF(AND('Mapa final'!$AA$39="Media",'Mapa final'!$AC$39="Menor"),CONCATENATE("R7C",'Mapa final'!$Q$39),"")</f>
        <v/>
      </c>
      <c r="Q32" s="52" t="str">
        <f>IF(AND('Mapa final'!$AA$40="Media",'Mapa final'!$AC$40="Menor"),CONCATENATE("R7C",'Mapa final'!$Q$40),"")</f>
        <v/>
      </c>
      <c r="R32" s="52" t="str">
        <f>IF(AND('Mapa final'!$AA$41="Media",'Mapa final'!$AC$41="Menor"),CONCATENATE("R7C",'Mapa final'!$Q$41),"")</f>
        <v/>
      </c>
      <c r="S32" s="52" t="str">
        <f>IF(AND('Mapa final'!$AA$42="Media",'Mapa final'!$AC$42="Menor"),CONCATENATE("R7C",'Mapa final'!$Q$42),"")</f>
        <v/>
      </c>
      <c r="T32" s="52" t="str">
        <f>IF(AND('Mapa final'!$AA$43="Media",'Mapa final'!$AC$43="Menor"),CONCATENATE("R7C",'Mapa final'!$Q$43),"")</f>
        <v/>
      </c>
      <c r="U32" s="53" t="str">
        <f>IF(AND('Mapa final'!$AA$44="Media",'Mapa final'!$AC$44="Menor"),CONCATENATE("R7C",'Mapa final'!$Q$44),"")</f>
        <v/>
      </c>
      <c r="V32" s="51" t="str">
        <f>IF(AND('Mapa final'!$AA$39="Media",'Mapa final'!$AC$39="Moderado"),CONCATENATE("R7C",'Mapa final'!$Q$39),"")</f>
        <v/>
      </c>
      <c r="W32" s="52" t="str">
        <f>IF(AND('Mapa final'!$AA$40="Media",'Mapa final'!$AC$40="Moderado"),CONCATENATE("R7C",'Mapa final'!$Q$40),"")</f>
        <v/>
      </c>
      <c r="X32" s="52" t="str">
        <f>IF(AND('Mapa final'!$AA$41="Media",'Mapa final'!$AC$41="Moderado"),CONCATENATE("R7C",'Mapa final'!$Q$41),"")</f>
        <v/>
      </c>
      <c r="Y32" s="52" t="str">
        <f>IF(AND('Mapa final'!$AA$42="Media",'Mapa final'!$AC$42="Moderado"),CONCATENATE("R7C",'Mapa final'!$Q$42),"")</f>
        <v/>
      </c>
      <c r="Z32" s="52" t="str">
        <f>IF(AND('Mapa final'!$AA$43="Media",'Mapa final'!$AC$43="Moderado"),CONCATENATE("R7C",'Mapa final'!$Q$43),"")</f>
        <v/>
      </c>
      <c r="AA32" s="53" t="str">
        <f>IF(AND('Mapa final'!$AA$44="Media",'Mapa final'!$AC$44="Moderado"),CONCATENATE("R7C",'Mapa final'!$Q$44),"")</f>
        <v/>
      </c>
      <c r="AB32" s="36" t="str">
        <f>IF(AND('Mapa final'!$AA$39="Media",'Mapa final'!$AC$39="Mayor"),CONCATENATE("R7C",'Mapa final'!$Q$39),"")</f>
        <v/>
      </c>
      <c r="AC32" s="37" t="str">
        <f>IF(AND('Mapa final'!$AA$40="Media",'Mapa final'!$AC$40="Mayor"),CONCATENATE("R7C",'Mapa final'!$Q$40),"")</f>
        <v/>
      </c>
      <c r="AD32" s="37" t="str">
        <f>IF(AND('Mapa final'!$AA$41="Media",'Mapa final'!$AC$41="Mayor"),CONCATENATE("R7C",'Mapa final'!$Q$41),"")</f>
        <v/>
      </c>
      <c r="AE32" s="37" t="str">
        <f>IF(AND('Mapa final'!$AA$42="Media",'Mapa final'!$AC$42="Mayor"),CONCATENATE("R7C",'Mapa final'!$Q$42),"")</f>
        <v/>
      </c>
      <c r="AF32" s="37" t="str">
        <f>IF(AND('Mapa final'!$AA$43="Media",'Mapa final'!$AC$43="Mayor"),CONCATENATE("R7C",'Mapa final'!$Q$43),"")</f>
        <v/>
      </c>
      <c r="AG32" s="38" t="str">
        <f>IF(AND('Mapa final'!$AA$44="Media",'Mapa final'!$AC$44="Mayor"),CONCATENATE("R7C",'Mapa final'!$Q$44),"")</f>
        <v/>
      </c>
      <c r="AH32" s="39" t="str">
        <f>IF(AND('Mapa final'!$AA$39="Media",'Mapa final'!$AC$39="Catastrófico"),CONCATENATE("R7C",'Mapa final'!$Q$39),"")</f>
        <v/>
      </c>
      <c r="AI32" s="40" t="str">
        <f>IF(AND('Mapa final'!$AA$40="Media",'Mapa final'!$AC$40="Catastrófico"),CONCATENATE("R7C",'Mapa final'!$Q$40),"")</f>
        <v/>
      </c>
      <c r="AJ32" s="40" t="str">
        <f>IF(AND('Mapa final'!$AA$41="Media",'Mapa final'!$AC$41="Catastrófico"),CONCATENATE("R7C",'Mapa final'!$Q$41),"")</f>
        <v/>
      </c>
      <c r="AK32" s="40" t="str">
        <f>IF(AND('Mapa final'!$AA$42="Media",'Mapa final'!$AC$42="Catastrófico"),CONCATENATE("R7C",'Mapa final'!$Q$42),"")</f>
        <v/>
      </c>
      <c r="AL32" s="40" t="str">
        <f>IF(AND('Mapa final'!$AA$43="Media",'Mapa final'!$AC$43="Catastrófico"),CONCATENATE("R7C",'Mapa final'!$Q$43),"")</f>
        <v/>
      </c>
      <c r="AM32" s="41" t="str">
        <f>IF(AND('Mapa final'!$AA$44="Media",'Mapa final'!$AC$44="Catastrófico"),CONCATENATE("R7C",'Mapa final'!$Q$44),"")</f>
        <v/>
      </c>
      <c r="AN32" s="67"/>
      <c r="AO32" s="422"/>
      <c r="AP32" s="423"/>
      <c r="AQ32" s="423"/>
      <c r="AR32" s="423"/>
      <c r="AS32" s="423"/>
      <c r="AT32" s="42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294"/>
      <c r="C33" s="294"/>
      <c r="D33" s="295"/>
      <c r="E33" s="393"/>
      <c r="F33" s="392"/>
      <c r="G33" s="392"/>
      <c r="H33" s="392"/>
      <c r="I33" s="408"/>
      <c r="J33" s="51" t="str">
        <f>IF(AND('Mapa final'!$AA$45="Media",'Mapa final'!$AC$45="Leve"),CONCATENATE("R8C",'Mapa final'!$Q$45),"")</f>
        <v/>
      </c>
      <c r="K33" s="52" t="str">
        <f>IF(AND('Mapa final'!$AA$46="Media",'Mapa final'!$AC$46="Leve"),CONCATENATE("R8C",'Mapa final'!$Q$46),"")</f>
        <v/>
      </c>
      <c r="L33" s="52" t="str">
        <f>IF(AND('Mapa final'!$AA$47="Media",'Mapa final'!$AC$47="Leve"),CONCATENATE("R8C",'Mapa final'!$Q$47),"")</f>
        <v/>
      </c>
      <c r="M33" s="52" t="str">
        <f>IF(AND('Mapa final'!$AA$48="Media",'Mapa final'!$AC$48="Leve"),CONCATENATE("R8C",'Mapa final'!$Q$48),"")</f>
        <v/>
      </c>
      <c r="N33" s="52" t="str">
        <f>IF(AND('Mapa final'!$AA$49="Media",'Mapa final'!$AC$49="Leve"),CONCATENATE("R8C",'Mapa final'!$Q$49),"")</f>
        <v/>
      </c>
      <c r="O33" s="53" t="str">
        <f>IF(AND('Mapa final'!$AA$50="Media",'Mapa final'!$AC$50="Leve"),CONCATENATE("R8C",'Mapa final'!$Q$50),"")</f>
        <v/>
      </c>
      <c r="P33" s="51" t="str">
        <f>IF(AND('Mapa final'!$AA$45="Media",'Mapa final'!$AC$45="Menor"),CONCATENATE("R8C",'Mapa final'!$Q$45),"")</f>
        <v/>
      </c>
      <c r="Q33" s="52" t="str">
        <f>IF(AND('Mapa final'!$AA$46="Media",'Mapa final'!$AC$46="Menor"),CONCATENATE("R8C",'Mapa final'!$Q$46),"")</f>
        <v/>
      </c>
      <c r="R33" s="52" t="str">
        <f>IF(AND('Mapa final'!$AA$47="Media",'Mapa final'!$AC$47="Menor"),CONCATENATE("R8C",'Mapa final'!$Q$47),"")</f>
        <v/>
      </c>
      <c r="S33" s="52" t="str">
        <f>IF(AND('Mapa final'!$AA$48="Media",'Mapa final'!$AC$48="Menor"),CONCATENATE("R8C",'Mapa final'!$Q$48),"")</f>
        <v/>
      </c>
      <c r="T33" s="52" t="str">
        <f>IF(AND('Mapa final'!$AA$49="Media",'Mapa final'!$AC$49="Menor"),CONCATENATE("R8C",'Mapa final'!$Q$49),"")</f>
        <v/>
      </c>
      <c r="U33" s="53" t="str">
        <f>IF(AND('Mapa final'!$AA$50="Media",'Mapa final'!$AC$50="Menor"),CONCATENATE("R8C",'Mapa final'!$Q$50),"")</f>
        <v/>
      </c>
      <c r="V33" s="51" t="str">
        <f>IF(AND('Mapa final'!$AA$45="Media",'Mapa final'!$AC$45="Moderado"),CONCATENATE("R8C",'Mapa final'!$Q$45),"")</f>
        <v/>
      </c>
      <c r="W33" s="52" t="str">
        <f>IF(AND('Mapa final'!$AA$46="Media",'Mapa final'!$AC$46="Moderado"),CONCATENATE("R8C",'Mapa final'!$Q$46),"")</f>
        <v/>
      </c>
      <c r="X33" s="52" t="str">
        <f>IF(AND('Mapa final'!$AA$47="Media",'Mapa final'!$AC$47="Moderado"),CONCATENATE("R8C",'Mapa final'!$Q$47),"")</f>
        <v/>
      </c>
      <c r="Y33" s="52" t="str">
        <f>IF(AND('Mapa final'!$AA$48="Media",'Mapa final'!$AC$48="Moderado"),CONCATENATE("R8C",'Mapa final'!$Q$48),"")</f>
        <v/>
      </c>
      <c r="Z33" s="52" t="str">
        <f>IF(AND('Mapa final'!$AA$49="Media",'Mapa final'!$AC$49="Moderado"),CONCATENATE("R8C",'Mapa final'!$Q$49),"")</f>
        <v/>
      </c>
      <c r="AA33" s="53" t="str">
        <f>IF(AND('Mapa final'!$AA$50="Media",'Mapa final'!$AC$50="Moderado"),CONCATENATE("R8C",'Mapa final'!$Q$50),"")</f>
        <v/>
      </c>
      <c r="AB33" s="36" t="str">
        <f>IF(AND('Mapa final'!$AA$45="Media",'Mapa final'!$AC$45="Mayor"),CONCATENATE("R8C",'Mapa final'!$Q$45),"")</f>
        <v/>
      </c>
      <c r="AC33" s="37" t="str">
        <f>IF(AND('Mapa final'!$AA$46="Media",'Mapa final'!$AC$46="Mayor"),CONCATENATE("R8C",'Mapa final'!$Q$46),"")</f>
        <v/>
      </c>
      <c r="AD33" s="37" t="str">
        <f>IF(AND('Mapa final'!$AA$47="Media",'Mapa final'!$AC$47="Mayor"),CONCATENATE("R8C",'Mapa final'!$Q$47),"")</f>
        <v/>
      </c>
      <c r="AE33" s="37" t="str">
        <f>IF(AND('Mapa final'!$AA$48="Media",'Mapa final'!$AC$48="Mayor"),CONCATENATE("R8C",'Mapa final'!$Q$48),"")</f>
        <v/>
      </c>
      <c r="AF33" s="37" t="str">
        <f>IF(AND('Mapa final'!$AA$49="Media",'Mapa final'!$AC$49="Mayor"),CONCATENATE("R8C",'Mapa final'!$Q$49),"")</f>
        <v/>
      </c>
      <c r="AG33" s="38" t="str">
        <f>IF(AND('Mapa final'!$AA$50="Media",'Mapa final'!$AC$50="Mayor"),CONCATENATE("R8C",'Mapa final'!$Q$50),"")</f>
        <v/>
      </c>
      <c r="AH33" s="39" t="str">
        <f>IF(AND('Mapa final'!$AA$45="Media",'Mapa final'!$AC$45="Catastrófico"),CONCATENATE("R8C",'Mapa final'!$Q$45),"")</f>
        <v/>
      </c>
      <c r="AI33" s="40" t="str">
        <f>IF(AND('Mapa final'!$AA$46="Media",'Mapa final'!$AC$46="Catastrófico"),CONCATENATE("R8C",'Mapa final'!$Q$46),"")</f>
        <v/>
      </c>
      <c r="AJ33" s="40" t="str">
        <f>IF(AND('Mapa final'!$AA$47="Media",'Mapa final'!$AC$47="Catastrófico"),CONCATENATE("R8C",'Mapa final'!$Q$47),"")</f>
        <v/>
      </c>
      <c r="AK33" s="40" t="str">
        <f>IF(AND('Mapa final'!$AA$48="Media",'Mapa final'!$AC$48="Catastrófico"),CONCATENATE("R8C",'Mapa final'!$Q$48),"")</f>
        <v/>
      </c>
      <c r="AL33" s="40" t="str">
        <f>IF(AND('Mapa final'!$AA$49="Media",'Mapa final'!$AC$49="Catastrófico"),CONCATENATE("R8C",'Mapa final'!$Q$49),"")</f>
        <v/>
      </c>
      <c r="AM33" s="41" t="str">
        <f>IF(AND('Mapa final'!$AA$50="Media",'Mapa final'!$AC$50="Catastrófico"),CONCATENATE("R8C",'Mapa final'!$Q$50),"")</f>
        <v/>
      </c>
      <c r="AN33" s="67"/>
      <c r="AO33" s="422"/>
      <c r="AP33" s="423"/>
      <c r="AQ33" s="423"/>
      <c r="AR33" s="423"/>
      <c r="AS33" s="423"/>
      <c r="AT33" s="42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294"/>
      <c r="C34" s="294"/>
      <c r="D34" s="295"/>
      <c r="E34" s="393"/>
      <c r="F34" s="392"/>
      <c r="G34" s="392"/>
      <c r="H34" s="392"/>
      <c r="I34" s="408"/>
      <c r="J34" s="51" t="str">
        <f>IF(AND('Mapa final'!$AA$51="Media",'Mapa final'!$AC$51="Leve"),CONCATENATE("R9C",'Mapa final'!$Q$51),"")</f>
        <v/>
      </c>
      <c r="K34" s="52" t="str">
        <f>IF(AND('Mapa final'!$AA$52="Media",'Mapa final'!$AC$52="Leve"),CONCATENATE("R9C",'Mapa final'!$Q$52),"")</f>
        <v/>
      </c>
      <c r="L34" s="52" t="str">
        <f>IF(AND('Mapa final'!$AA$53="Media",'Mapa final'!$AC$53="Leve"),CONCATENATE("R9C",'Mapa final'!$Q$53),"")</f>
        <v/>
      </c>
      <c r="M34" s="52" t="str">
        <f>IF(AND('Mapa final'!$AA$54="Media",'Mapa final'!$AC$54="Leve"),CONCATENATE("R9C",'Mapa final'!$Q$54),"")</f>
        <v/>
      </c>
      <c r="N34" s="52" t="str">
        <f>IF(AND('Mapa final'!$AA$55="Media",'Mapa final'!$AC$55="Leve"),CONCATENATE("R9C",'Mapa final'!$Q$55),"")</f>
        <v/>
      </c>
      <c r="O34" s="53" t="str">
        <f>IF(AND('Mapa final'!$AA$56="Media",'Mapa final'!$AC$56="Leve"),CONCATENATE("R9C",'Mapa final'!$Q$56),"")</f>
        <v/>
      </c>
      <c r="P34" s="51" t="str">
        <f>IF(AND('Mapa final'!$AA$51="Media",'Mapa final'!$AC$51="Menor"),CONCATENATE("R9C",'Mapa final'!$Q$51),"")</f>
        <v/>
      </c>
      <c r="Q34" s="52" t="str">
        <f>IF(AND('Mapa final'!$AA$52="Media",'Mapa final'!$AC$52="Menor"),CONCATENATE("R9C",'Mapa final'!$Q$52),"")</f>
        <v/>
      </c>
      <c r="R34" s="52" t="str">
        <f>IF(AND('Mapa final'!$AA$53="Media",'Mapa final'!$AC$53="Menor"),CONCATENATE("R9C",'Mapa final'!$Q$53),"")</f>
        <v/>
      </c>
      <c r="S34" s="52" t="str">
        <f>IF(AND('Mapa final'!$AA$54="Media",'Mapa final'!$AC$54="Menor"),CONCATENATE("R9C",'Mapa final'!$Q$54),"")</f>
        <v/>
      </c>
      <c r="T34" s="52" t="str">
        <f>IF(AND('Mapa final'!$AA$55="Media",'Mapa final'!$AC$55="Menor"),CONCATENATE("R9C",'Mapa final'!$Q$55),"")</f>
        <v/>
      </c>
      <c r="U34" s="53" t="str">
        <f>IF(AND('Mapa final'!$AA$56="Media",'Mapa final'!$AC$56="Menor"),CONCATENATE("R9C",'Mapa final'!$Q$56),"")</f>
        <v/>
      </c>
      <c r="V34" s="51" t="str">
        <f>IF(AND('Mapa final'!$AA$51="Media",'Mapa final'!$AC$51="Moderado"),CONCATENATE("R9C",'Mapa final'!$Q$51),"")</f>
        <v/>
      </c>
      <c r="W34" s="52" t="str">
        <f>IF(AND('Mapa final'!$AA$52="Media",'Mapa final'!$AC$52="Moderado"),CONCATENATE("R9C",'Mapa final'!$Q$52),"")</f>
        <v/>
      </c>
      <c r="X34" s="52" t="str">
        <f>IF(AND('Mapa final'!$AA$53="Media",'Mapa final'!$AC$53="Moderado"),CONCATENATE("R9C",'Mapa final'!$Q$53),"")</f>
        <v/>
      </c>
      <c r="Y34" s="52" t="str">
        <f>IF(AND('Mapa final'!$AA$54="Media",'Mapa final'!$AC$54="Moderado"),CONCATENATE("R9C",'Mapa final'!$Q$54),"")</f>
        <v/>
      </c>
      <c r="Z34" s="52" t="str">
        <f>IF(AND('Mapa final'!$AA$55="Media",'Mapa final'!$AC$55="Moderado"),CONCATENATE("R9C",'Mapa final'!$Q$55),"")</f>
        <v/>
      </c>
      <c r="AA34" s="53" t="str">
        <f>IF(AND('Mapa final'!$AA$56="Media",'Mapa final'!$AC$56="Moderado"),CONCATENATE("R9C",'Mapa final'!$Q$56),"")</f>
        <v/>
      </c>
      <c r="AB34" s="36" t="str">
        <f>IF(AND('Mapa final'!$AA$51="Media",'Mapa final'!$AC$51="Mayor"),CONCATENATE("R9C",'Mapa final'!$Q$51),"")</f>
        <v/>
      </c>
      <c r="AC34" s="37" t="str">
        <f>IF(AND('Mapa final'!$AA$52="Media",'Mapa final'!$AC$52="Mayor"),CONCATENATE("R9C",'Mapa final'!$Q$52),"")</f>
        <v/>
      </c>
      <c r="AD34" s="37" t="str">
        <f>IF(AND('Mapa final'!$AA$53="Media",'Mapa final'!$AC$53="Mayor"),CONCATENATE("R9C",'Mapa final'!$Q$53),"")</f>
        <v/>
      </c>
      <c r="AE34" s="37" t="str">
        <f>IF(AND('Mapa final'!$AA$54="Media",'Mapa final'!$AC$54="Mayor"),CONCATENATE("R9C",'Mapa final'!$Q$54),"")</f>
        <v/>
      </c>
      <c r="AF34" s="37" t="str">
        <f>IF(AND('Mapa final'!$AA$55="Media",'Mapa final'!$AC$55="Mayor"),CONCATENATE("R9C",'Mapa final'!$Q$55),"")</f>
        <v/>
      </c>
      <c r="AG34" s="38" t="str">
        <f>IF(AND('Mapa final'!$AA$56="Media",'Mapa final'!$AC$56="Mayor"),CONCATENATE("R9C",'Mapa final'!$Q$56),"")</f>
        <v/>
      </c>
      <c r="AH34" s="39" t="str">
        <f>IF(AND('Mapa final'!$AA$51="Media",'Mapa final'!$AC$51="Catastrófico"),CONCATENATE("R9C",'Mapa final'!$Q$51),"")</f>
        <v/>
      </c>
      <c r="AI34" s="40" t="str">
        <f>IF(AND('Mapa final'!$AA$52="Media",'Mapa final'!$AC$52="Catastrófico"),CONCATENATE("R9C",'Mapa final'!$Q$52),"")</f>
        <v/>
      </c>
      <c r="AJ34" s="40" t="str">
        <f>IF(AND('Mapa final'!$AA$53="Media",'Mapa final'!$AC$53="Catastrófico"),CONCATENATE("R9C",'Mapa final'!$Q$53),"")</f>
        <v/>
      </c>
      <c r="AK34" s="40" t="str">
        <f>IF(AND('Mapa final'!$AA$54="Media",'Mapa final'!$AC$54="Catastrófico"),CONCATENATE("R9C",'Mapa final'!$Q$54),"")</f>
        <v/>
      </c>
      <c r="AL34" s="40" t="str">
        <f>IF(AND('Mapa final'!$AA$55="Media",'Mapa final'!$AC$55="Catastrófico"),CONCATENATE("R9C",'Mapa final'!$Q$55),"")</f>
        <v/>
      </c>
      <c r="AM34" s="41" t="str">
        <f>IF(AND('Mapa final'!$AA$56="Media",'Mapa final'!$AC$56="Catastrófico"),CONCATENATE("R9C",'Mapa final'!$Q$56),"")</f>
        <v/>
      </c>
      <c r="AN34" s="67"/>
      <c r="AO34" s="422"/>
      <c r="AP34" s="423"/>
      <c r="AQ34" s="423"/>
      <c r="AR34" s="423"/>
      <c r="AS34" s="423"/>
      <c r="AT34" s="42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294"/>
      <c r="C35" s="294"/>
      <c r="D35" s="295"/>
      <c r="E35" s="394"/>
      <c r="F35" s="395"/>
      <c r="G35" s="395"/>
      <c r="H35" s="395"/>
      <c r="I35" s="409"/>
      <c r="J35" s="51" t="str">
        <f>IF(AND('Mapa final'!$AA$57="Media",'Mapa final'!$AC$57="Leve"),CONCATENATE("R10C",'Mapa final'!$Q$57),"")</f>
        <v/>
      </c>
      <c r="K35" s="52" t="str">
        <f>IF(AND('Mapa final'!$AA$58="Media",'Mapa final'!$AC$58="Leve"),CONCATENATE("R10C",'Mapa final'!$Q$58),"")</f>
        <v/>
      </c>
      <c r="L35" s="52" t="str">
        <f>IF(AND('Mapa final'!$AA$59="Media",'Mapa final'!$AC$59="Leve"),CONCATENATE("R10C",'Mapa final'!$Q$59),"")</f>
        <v/>
      </c>
      <c r="M35" s="52" t="str">
        <f>IF(AND('Mapa final'!$AA$60="Media",'Mapa final'!$AC$60="Leve"),CONCATENATE("R10C",'Mapa final'!$Q$60),"")</f>
        <v/>
      </c>
      <c r="N35" s="52" t="str">
        <f>IF(AND('Mapa final'!$AA$61="Media",'Mapa final'!$AC$61="Leve"),CONCATENATE("R10C",'Mapa final'!$Q$61),"")</f>
        <v/>
      </c>
      <c r="O35" s="53" t="str">
        <f>IF(AND('Mapa final'!$AA$62="Media",'Mapa final'!$AC$62="Leve"),CONCATENATE("R10C",'Mapa final'!$Q$62),"")</f>
        <v/>
      </c>
      <c r="P35" s="51" t="str">
        <f>IF(AND('Mapa final'!$AA$57="Media",'Mapa final'!$AC$57="Menor"),CONCATENATE("R10C",'Mapa final'!$Q$57),"")</f>
        <v/>
      </c>
      <c r="Q35" s="52" t="str">
        <f>IF(AND('Mapa final'!$AA$58="Media",'Mapa final'!$AC$58="Menor"),CONCATENATE("R10C",'Mapa final'!$Q$58),"")</f>
        <v/>
      </c>
      <c r="R35" s="52" t="str">
        <f>IF(AND('Mapa final'!$AA$59="Media",'Mapa final'!$AC$59="Menor"),CONCATENATE("R10C",'Mapa final'!$Q$59),"")</f>
        <v/>
      </c>
      <c r="S35" s="52" t="str">
        <f>IF(AND('Mapa final'!$AA$60="Media",'Mapa final'!$AC$60="Menor"),CONCATENATE("R10C",'Mapa final'!$Q$60),"")</f>
        <v/>
      </c>
      <c r="T35" s="52" t="str">
        <f>IF(AND('Mapa final'!$AA$61="Media",'Mapa final'!$AC$61="Menor"),CONCATENATE("R10C",'Mapa final'!$Q$61),"")</f>
        <v/>
      </c>
      <c r="U35" s="53" t="str">
        <f>IF(AND('Mapa final'!$AA$62="Media",'Mapa final'!$AC$62="Menor"),CONCATENATE("R10C",'Mapa final'!$Q$62),"")</f>
        <v/>
      </c>
      <c r="V35" s="51" t="str">
        <f>IF(AND('Mapa final'!$AA$57="Media",'Mapa final'!$AC$57="Moderado"),CONCATENATE("R10C",'Mapa final'!$Q$57),"")</f>
        <v/>
      </c>
      <c r="W35" s="52" t="str">
        <f>IF(AND('Mapa final'!$AA$58="Media",'Mapa final'!$AC$58="Moderado"),CONCATENATE("R10C",'Mapa final'!$Q$58),"")</f>
        <v/>
      </c>
      <c r="X35" s="52" t="str">
        <f>IF(AND('Mapa final'!$AA$59="Media",'Mapa final'!$AC$59="Moderado"),CONCATENATE("R10C",'Mapa final'!$Q$59),"")</f>
        <v/>
      </c>
      <c r="Y35" s="52" t="str">
        <f>IF(AND('Mapa final'!$AA$60="Media",'Mapa final'!$AC$60="Moderado"),CONCATENATE("R10C",'Mapa final'!$Q$60),"")</f>
        <v/>
      </c>
      <c r="Z35" s="52" t="str">
        <f>IF(AND('Mapa final'!$AA$61="Media",'Mapa final'!$AC$61="Moderado"),CONCATENATE("R10C",'Mapa final'!$Q$61),"")</f>
        <v/>
      </c>
      <c r="AA35" s="53" t="str">
        <f>IF(AND('Mapa final'!$AA$62="Media",'Mapa final'!$AC$62="Moderado"),CONCATENATE("R10C",'Mapa final'!$Q$62),"")</f>
        <v/>
      </c>
      <c r="AB35" s="42" t="str">
        <f>IF(AND('Mapa final'!$AA$57="Media",'Mapa final'!$AC$57="Mayor"),CONCATENATE("R10C",'Mapa final'!$Q$57),"")</f>
        <v/>
      </c>
      <c r="AC35" s="43" t="str">
        <f>IF(AND('Mapa final'!$AA$58="Media",'Mapa final'!$AC$58="Mayor"),CONCATENATE("R10C",'Mapa final'!$Q$58),"")</f>
        <v/>
      </c>
      <c r="AD35" s="43" t="str">
        <f>IF(AND('Mapa final'!$AA$59="Media",'Mapa final'!$AC$59="Mayor"),CONCATENATE("R10C",'Mapa final'!$Q$59),"")</f>
        <v/>
      </c>
      <c r="AE35" s="43" t="str">
        <f>IF(AND('Mapa final'!$AA$60="Media",'Mapa final'!$AC$60="Mayor"),CONCATENATE("R10C",'Mapa final'!$Q$60),"")</f>
        <v/>
      </c>
      <c r="AF35" s="43" t="str">
        <f>IF(AND('Mapa final'!$AA$61="Media",'Mapa final'!$AC$61="Mayor"),CONCATENATE("R10C",'Mapa final'!$Q$61),"")</f>
        <v/>
      </c>
      <c r="AG35" s="44" t="str">
        <f>IF(AND('Mapa final'!$AA$62="Media",'Mapa final'!$AC$62="Mayor"),CONCATENATE("R10C",'Mapa final'!$Q$62),"")</f>
        <v/>
      </c>
      <c r="AH35" s="45" t="str">
        <f>IF(AND('Mapa final'!$AA$57="Media",'Mapa final'!$AC$57="Catastrófico"),CONCATENATE("R10C",'Mapa final'!$Q$57),"")</f>
        <v/>
      </c>
      <c r="AI35" s="46" t="str">
        <f>IF(AND('Mapa final'!$AA$58="Media",'Mapa final'!$AC$58="Catastrófico"),CONCATENATE("R10C",'Mapa final'!$Q$58),"")</f>
        <v/>
      </c>
      <c r="AJ35" s="46" t="str">
        <f>IF(AND('Mapa final'!$AA$59="Media",'Mapa final'!$AC$59="Catastrófico"),CONCATENATE("R10C",'Mapa final'!$Q$59),"")</f>
        <v/>
      </c>
      <c r="AK35" s="46" t="str">
        <f>IF(AND('Mapa final'!$AA$60="Media",'Mapa final'!$AC$60="Catastrófico"),CONCATENATE("R10C",'Mapa final'!$Q$60),"")</f>
        <v/>
      </c>
      <c r="AL35" s="46" t="str">
        <f>IF(AND('Mapa final'!$AA$61="Media",'Mapa final'!$AC$61="Catastrófico"),CONCATENATE("R10C",'Mapa final'!$Q$61),"")</f>
        <v/>
      </c>
      <c r="AM35" s="47" t="str">
        <f>IF(AND('Mapa final'!$AA$62="Media",'Mapa final'!$AC$62="Catastrófico"),CONCATENATE("R10C",'Mapa final'!$Q$62),"")</f>
        <v/>
      </c>
      <c r="AN35" s="67"/>
      <c r="AO35" s="425"/>
      <c r="AP35" s="426"/>
      <c r="AQ35" s="426"/>
      <c r="AR35" s="426"/>
      <c r="AS35" s="426"/>
      <c r="AT35" s="42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294"/>
      <c r="C36" s="294"/>
      <c r="D36" s="295"/>
      <c r="E36" s="389" t="s">
        <v>109</v>
      </c>
      <c r="F36" s="390"/>
      <c r="G36" s="390"/>
      <c r="H36" s="390"/>
      <c r="I36" s="390"/>
      <c r="J36" s="57" t="str">
        <f ca="1">IF(AND('Mapa final'!$AA$10="Baja",'Mapa final'!$AC$10="Leve"),CONCATENATE("R1C",'Mapa final'!$Q$10),"")</f>
        <v/>
      </c>
      <c r="K36" s="58" t="str">
        <f>IF(AND('Mapa final'!$AA$11="Baja",'Mapa final'!$AC$11="Leve"),CONCATENATE("R1C",'Mapa final'!$Q$11),"")</f>
        <v/>
      </c>
      <c r="L36" s="58" t="e">
        <f>IF(AND('Mapa final'!#REF!="Baja",'Mapa final'!#REF!="Leve"),CONCATENATE("R1C",'Mapa final'!#REF!),"")</f>
        <v>#REF!</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IF(AND('Mapa final'!$AA$11="Baja",'Mapa final'!$AC$11="Menor"),CONCATENATE("R1C",'Mapa final'!$Q$11),"")</f>
        <v/>
      </c>
      <c r="R36" s="49" t="e">
        <f>IF(AND('Mapa final'!#REF!="Baja",'Mapa final'!#REF!="Menor"),CONCATENATE("R1C",'Mapa final'!#REF!),"")</f>
        <v>#REF!</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R1C1</v>
      </c>
      <c r="W36" s="49" t="str">
        <f>IF(AND('Mapa final'!$AA$11="Baja",'Mapa final'!$AC$11="Moderado"),CONCATENATE("R1C",'Mapa final'!$Q$11),"")</f>
        <v/>
      </c>
      <c r="X36" s="49" t="e">
        <f>IF(AND('Mapa final'!#REF!="Baja",'Mapa final'!#REF!="Moderado"),CONCATENATE("R1C",'Mapa final'!#REF!),"")</f>
        <v>#REF!</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
      </c>
      <c r="AC36" s="31" t="str">
        <f>IF(AND('Mapa final'!$AA$11="Baja",'Mapa final'!$AC$11="Mayor"),CONCATENATE("R1C",'Mapa final'!$Q$11),"")</f>
        <v/>
      </c>
      <c r="AD36" s="31" t="e">
        <f>IF(AND('Mapa final'!#REF!="Baja",'Mapa final'!#REF!="Mayor"),CONCATENATE("R1C",'Mapa final'!#REF!),"")</f>
        <v>#REF!</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IF(AND('Mapa final'!$AA$11="Baja",'Mapa final'!$AC$11="Catastrófico"),CONCATENATE("R1C",'Mapa final'!$Q$11),"")</f>
        <v/>
      </c>
      <c r="AJ36" s="34" t="e">
        <f>IF(AND('Mapa final'!#REF!="Baja",'Mapa final'!#REF!="Catastrófico"),CONCATENATE("R1C",'Mapa final'!#REF!),"")</f>
        <v>#REF!</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410" t="s">
        <v>81</v>
      </c>
      <c r="AP36" s="411"/>
      <c r="AQ36" s="411"/>
      <c r="AR36" s="411"/>
      <c r="AS36" s="411"/>
      <c r="AT36" s="41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294"/>
      <c r="C37" s="294"/>
      <c r="D37" s="295"/>
      <c r="E37" s="391"/>
      <c r="F37" s="392"/>
      <c r="G37" s="392"/>
      <c r="H37" s="392"/>
      <c r="I37" s="392"/>
      <c r="J37" s="60" t="str">
        <f>IF(AND('Mapa final'!$AA$12="Baja",'Mapa final'!$AC$12="Leve"),CONCATENATE("R2C",'Mapa final'!$Q$12),"")</f>
        <v/>
      </c>
      <c r="K37" s="61" t="str">
        <f>IF(AND('Mapa final'!$AA$13="Baja",'Mapa final'!$AC$13="Leve"),CONCATENATE("R2C",'Mapa final'!$Q$13),"")</f>
        <v/>
      </c>
      <c r="L37" s="61" t="str">
        <f>IF(AND('Mapa final'!$AA$14="Baja",'Mapa final'!$AC$14="Leve"),CONCATENATE("R2C",'Mapa final'!$Q$14),"")</f>
        <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final'!$AA$12="Baja",'Mapa final'!$AC$12="Menor"),CONCATENATE("R2C",'Mapa final'!$Q$12),"")</f>
        <v/>
      </c>
      <c r="Q37" s="52" t="str">
        <f>IF(AND('Mapa final'!$AA$13="Baja",'Mapa final'!$AC$13="Menor"),CONCATENATE("R2C",'Mapa final'!$Q$13),"")</f>
        <v/>
      </c>
      <c r="R37" s="52" t="str">
        <f>IF(AND('Mapa final'!$AA$14="Baja",'Mapa final'!$AC$14="Menor"),CONCATENATE("R2C",'Mapa final'!$Q$14),"")</f>
        <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final'!$AA$12="Baja",'Mapa final'!$AC$12="Moderado"),CONCATENATE("R2C",'Mapa final'!$Q$12),"")</f>
        <v/>
      </c>
      <c r="W37" s="52" t="str">
        <f>IF(AND('Mapa final'!$AA$13="Baja",'Mapa final'!$AC$13="Moderado"),CONCATENATE("R2C",'Mapa final'!$Q$13),"")</f>
        <v/>
      </c>
      <c r="X37" s="52" t="str">
        <f>IF(AND('Mapa final'!$AA$14="Baja",'Mapa final'!$AC$14="Moderado"),CONCATENATE("R2C",'Mapa final'!$Q$14),"")</f>
        <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final'!$AA$12="Baja",'Mapa final'!$AC$12="Mayor"),CONCATENATE("R2C",'Mapa final'!$Q$12),"")</f>
        <v/>
      </c>
      <c r="AC37" s="37" t="str">
        <f>IF(AND('Mapa final'!$AA$13="Baja",'Mapa final'!$AC$13="Mayor"),CONCATENATE("R2C",'Mapa final'!$Q$13),"")</f>
        <v/>
      </c>
      <c r="AD37" s="37" t="str">
        <f>IF(AND('Mapa final'!$AA$14="Baja",'Mapa final'!$AC$14="Mayor"),CONCATENATE("R2C",'Mapa final'!$Q$14),"")</f>
        <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final'!$AA$12="Baja",'Mapa final'!$AC$12="Catastrófico"),CONCATENATE("R2C",'Mapa final'!$Q$12),"")</f>
        <v/>
      </c>
      <c r="AI37" s="40" t="str">
        <f>IF(AND('Mapa final'!$AA$13="Baja",'Mapa final'!$AC$13="Catastrófico"),CONCATENATE("R2C",'Mapa final'!$Q$13),"")</f>
        <v/>
      </c>
      <c r="AJ37" s="40" t="str">
        <f>IF(AND('Mapa final'!$AA$14="Baja",'Mapa final'!$AC$14="Catastrófico"),CONCATENATE("R2C",'Mapa final'!$Q$14),"")</f>
        <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413"/>
      <c r="AP37" s="414"/>
      <c r="AQ37" s="414"/>
      <c r="AR37" s="414"/>
      <c r="AS37" s="414"/>
      <c r="AT37" s="41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294"/>
      <c r="C38" s="294"/>
      <c r="D38" s="295"/>
      <c r="E38" s="393"/>
      <c r="F38" s="392"/>
      <c r="G38" s="392"/>
      <c r="H38" s="392"/>
      <c r="I38" s="392"/>
      <c r="J38" s="60" t="str">
        <f>IF(AND('Mapa final'!$AA$15="Baja",'Mapa final'!$AC$15="Leve"),CONCATENATE("R3C",'Mapa final'!$Q$15),"")</f>
        <v/>
      </c>
      <c r="K38" s="61" t="str">
        <f>IF(AND('Mapa final'!$AA$16="Baja",'Mapa final'!$AC$16="Leve"),CONCATENATE("R3C",'Mapa final'!$Q$16),"")</f>
        <v/>
      </c>
      <c r="L38" s="61" t="str">
        <f>IF(AND('Mapa final'!$AA$17="Baja",'Mapa final'!$AC$17="Leve"),CONCATENATE("R3C",'Mapa final'!$Q$17),"")</f>
        <v/>
      </c>
      <c r="M38" s="61" t="str">
        <f>IF(AND('Mapa final'!$AA$18="Baja",'Mapa final'!$AC$18="Leve"),CONCATENATE("R3C",'Mapa final'!$Q$18),"")</f>
        <v/>
      </c>
      <c r="N38" s="61" t="str">
        <f>IF(AND('Mapa final'!$AA$19="Baja",'Mapa final'!$AC$19="Leve"),CONCATENATE("R3C",'Mapa final'!$Q$19),"")</f>
        <v/>
      </c>
      <c r="O38" s="62" t="str">
        <f>IF(AND('Mapa final'!$AA$20="Baja",'Mapa final'!$AC$20="Leve"),CONCATENATE("R3C",'Mapa final'!$Q$20),"")</f>
        <v/>
      </c>
      <c r="P38" s="51" t="str">
        <f>IF(AND('Mapa final'!$AA$15="Baja",'Mapa final'!$AC$15="Menor"),CONCATENATE("R3C",'Mapa final'!$Q$15),"")</f>
        <v/>
      </c>
      <c r="Q38" s="52" t="str">
        <f>IF(AND('Mapa final'!$AA$16="Baja",'Mapa final'!$AC$16="Menor"),CONCATENATE("R3C",'Mapa final'!$Q$16),"")</f>
        <v/>
      </c>
      <c r="R38" s="52" t="str">
        <f>IF(AND('Mapa final'!$AA$17="Baja",'Mapa final'!$AC$17="Menor"),CONCATENATE("R3C",'Mapa final'!$Q$17),"")</f>
        <v/>
      </c>
      <c r="S38" s="52" t="str">
        <f>IF(AND('Mapa final'!$AA$18="Baja",'Mapa final'!$AC$18="Menor"),CONCATENATE("R3C",'Mapa final'!$Q$18),"")</f>
        <v/>
      </c>
      <c r="T38" s="52" t="str">
        <f>IF(AND('Mapa final'!$AA$19="Baja",'Mapa final'!$AC$19="Menor"),CONCATENATE("R3C",'Mapa final'!$Q$19),"")</f>
        <v/>
      </c>
      <c r="U38" s="53" t="str">
        <f>IF(AND('Mapa final'!$AA$20="Baja",'Mapa final'!$AC$20="Menor"),CONCATENATE("R3C",'Mapa final'!$Q$20),"")</f>
        <v/>
      </c>
      <c r="V38" s="51" t="str">
        <f>IF(AND('Mapa final'!$AA$15="Baja",'Mapa final'!$AC$15="Moderado"),CONCATENATE("R3C",'Mapa final'!$Q$15),"")</f>
        <v/>
      </c>
      <c r="W38" s="52" t="str">
        <f>IF(AND('Mapa final'!$AA$16="Baja",'Mapa final'!$AC$16="Moderado"),CONCATENATE("R3C",'Mapa final'!$Q$16),"")</f>
        <v/>
      </c>
      <c r="X38" s="52" t="str">
        <f>IF(AND('Mapa final'!$AA$17="Baja",'Mapa final'!$AC$17="Moderado"),CONCATENATE("R3C",'Mapa final'!$Q$17),"")</f>
        <v/>
      </c>
      <c r="Y38" s="52" t="str">
        <f>IF(AND('Mapa final'!$AA$18="Baja",'Mapa final'!$AC$18="Moderado"),CONCATENATE("R3C",'Mapa final'!$Q$18),"")</f>
        <v/>
      </c>
      <c r="Z38" s="52" t="str">
        <f>IF(AND('Mapa final'!$AA$19="Baja",'Mapa final'!$AC$19="Moderado"),CONCATENATE("R3C",'Mapa final'!$Q$19),"")</f>
        <v/>
      </c>
      <c r="AA38" s="53" t="str">
        <f>IF(AND('Mapa final'!$AA$20="Baja",'Mapa final'!$AC$20="Moderado"),CONCATENATE("R3C",'Mapa final'!$Q$20),"")</f>
        <v/>
      </c>
      <c r="AB38" s="36" t="str">
        <f>IF(AND('Mapa final'!$AA$15="Baja",'Mapa final'!$AC$15="Mayor"),CONCATENATE("R3C",'Mapa final'!$Q$15),"")</f>
        <v/>
      </c>
      <c r="AC38" s="37" t="str">
        <f>IF(AND('Mapa final'!$AA$16="Baja",'Mapa final'!$AC$16="Mayor"),CONCATENATE("R3C",'Mapa final'!$Q$16),"")</f>
        <v/>
      </c>
      <c r="AD38" s="37" t="str">
        <f>IF(AND('Mapa final'!$AA$17="Baja",'Mapa final'!$AC$17="Mayor"),CONCATENATE("R3C",'Mapa final'!$Q$17),"")</f>
        <v/>
      </c>
      <c r="AE38" s="37" t="str">
        <f>IF(AND('Mapa final'!$AA$18="Baja",'Mapa final'!$AC$18="Mayor"),CONCATENATE("R3C",'Mapa final'!$Q$18),"")</f>
        <v/>
      </c>
      <c r="AF38" s="37" t="str">
        <f>IF(AND('Mapa final'!$AA$19="Baja",'Mapa final'!$AC$19="Mayor"),CONCATENATE("R3C",'Mapa final'!$Q$19),"")</f>
        <v/>
      </c>
      <c r="AG38" s="38" t="str">
        <f>IF(AND('Mapa final'!$AA$20="Baja",'Mapa final'!$AC$20="Mayor"),CONCATENATE("R3C",'Mapa final'!$Q$20),"")</f>
        <v/>
      </c>
      <c r="AH38" s="39" t="str">
        <f>IF(AND('Mapa final'!$AA$15="Baja",'Mapa final'!$AC$15="Catastrófico"),CONCATENATE("R3C",'Mapa final'!$Q$15),"")</f>
        <v/>
      </c>
      <c r="AI38" s="40" t="str">
        <f>IF(AND('Mapa final'!$AA$16="Baja",'Mapa final'!$AC$16="Catastrófico"),CONCATENATE("R3C",'Mapa final'!$Q$16),"")</f>
        <v/>
      </c>
      <c r="AJ38" s="40" t="str">
        <f>IF(AND('Mapa final'!$AA$17="Baja",'Mapa final'!$AC$17="Catastrófico"),CONCATENATE("R3C",'Mapa final'!$Q$17),"")</f>
        <v/>
      </c>
      <c r="AK38" s="40" t="str">
        <f>IF(AND('Mapa final'!$AA$18="Baja",'Mapa final'!$AC$18="Catastrófico"),CONCATENATE("R3C",'Mapa final'!$Q$18),"")</f>
        <v/>
      </c>
      <c r="AL38" s="40" t="str">
        <f>IF(AND('Mapa final'!$AA$19="Baja",'Mapa final'!$AC$19="Catastrófico"),CONCATENATE("R3C",'Mapa final'!$Q$19),"")</f>
        <v/>
      </c>
      <c r="AM38" s="41" t="str">
        <f>IF(AND('Mapa final'!$AA$20="Baja",'Mapa final'!$AC$20="Catastrófico"),CONCATENATE("R3C",'Mapa final'!$Q$20),"")</f>
        <v/>
      </c>
      <c r="AN38" s="67"/>
      <c r="AO38" s="413"/>
      <c r="AP38" s="414"/>
      <c r="AQ38" s="414"/>
      <c r="AR38" s="414"/>
      <c r="AS38" s="414"/>
      <c r="AT38" s="415"/>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294"/>
      <c r="C39" s="294"/>
      <c r="D39" s="295"/>
      <c r="E39" s="393"/>
      <c r="F39" s="392"/>
      <c r="G39" s="392"/>
      <c r="H39" s="392"/>
      <c r="I39" s="392"/>
      <c r="J39" s="60" t="str">
        <f>IF(AND('Mapa final'!$AA$21="Baja",'Mapa final'!$AC$21="Leve"),CONCATENATE("R4C",'Mapa final'!$Q$21),"")</f>
        <v/>
      </c>
      <c r="K39" s="61" t="str">
        <f>IF(AND('Mapa final'!$AA$22="Baja",'Mapa final'!$AC$22="Leve"),CONCATENATE("R4C",'Mapa final'!$Q$22),"")</f>
        <v/>
      </c>
      <c r="L39" s="61" t="str">
        <f>IF(AND('Mapa final'!$AA$23="Baja",'Mapa final'!$AC$23="Leve"),CONCATENATE("R4C",'Mapa final'!$Q$23),"")</f>
        <v/>
      </c>
      <c r="M39" s="61" t="str">
        <f>IF(AND('Mapa final'!$AA$24="Baja",'Mapa final'!$AC$24="Leve"),CONCATENATE("R4C",'Mapa final'!$Q$24),"")</f>
        <v/>
      </c>
      <c r="N39" s="61" t="str">
        <f>IF(AND('Mapa final'!$AA$25="Baja",'Mapa final'!$AC$25="Leve"),CONCATENATE("R4C",'Mapa final'!$Q$25),"")</f>
        <v/>
      </c>
      <c r="O39" s="62" t="str">
        <f>IF(AND('Mapa final'!$AA$26="Baja",'Mapa final'!$AC$26="Leve"),CONCATENATE("R4C",'Mapa final'!$Q$26),"")</f>
        <v/>
      </c>
      <c r="P39" s="51" t="str">
        <f>IF(AND('Mapa final'!$AA$21="Baja",'Mapa final'!$AC$21="Menor"),CONCATENATE("R4C",'Mapa final'!$Q$21),"")</f>
        <v/>
      </c>
      <c r="Q39" s="52" t="str">
        <f>IF(AND('Mapa final'!$AA$22="Baja",'Mapa final'!$AC$22="Menor"),CONCATENATE("R4C",'Mapa final'!$Q$22),"")</f>
        <v/>
      </c>
      <c r="R39" s="52" t="str">
        <f>IF(AND('Mapa final'!$AA$23="Baja",'Mapa final'!$AC$23="Menor"),CONCATENATE("R4C",'Mapa final'!$Q$23),"")</f>
        <v/>
      </c>
      <c r="S39" s="52" t="str">
        <f>IF(AND('Mapa final'!$AA$24="Baja",'Mapa final'!$AC$24="Menor"),CONCATENATE("R4C",'Mapa final'!$Q$24),"")</f>
        <v/>
      </c>
      <c r="T39" s="52" t="str">
        <f>IF(AND('Mapa final'!$AA$25="Baja",'Mapa final'!$AC$25="Menor"),CONCATENATE("R4C",'Mapa final'!$Q$25),"")</f>
        <v/>
      </c>
      <c r="U39" s="53" t="str">
        <f>IF(AND('Mapa final'!$AA$26="Baja",'Mapa final'!$AC$26="Menor"),CONCATENATE("R4C",'Mapa final'!$Q$26),"")</f>
        <v/>
      </c>
      <c r="V39" s="51" t="str">
        <f>IF(AND('Mapa final'!$AA$21="Baja",'Mapa final'!$AC$21="Moderado"),CONCATENATE("R4C",'Mapa final'!$Q$21),"")</f>
        <v/>
      </c>
      <c r="W39" s="52" t="str">
        <f>IF(AND('Mapa final'!$AA$22="Baja",'Mapa final'!$AC$22="Moderado"),CONCATENATE("R4C",'Mapa final'!$Q$22),"")</f>
        <v/>
      </c>
      <c r="X39" s="52" t="str">
        <f>IF(AND('Mapa final'!$AA$23="Baja",'Mapa final'!$AC$23="Moderado"),CONCATENATE("R4C",'Mapa final'!$Q$23),"")</f>
        <v/>
      </c>
      <c r="Y39" s="52" t="str">
        <f>IF(AND('Mapa final'!$AA$24="Baja",'Mapa final'!$AC$24="Moderado"),CONCATENATE("R4C",'Mapa final'!$Q$24),"")</f>
        <v/>
      </c>
      <c r="Z39" s="52" t="str">
        <f>IF(AND('Mapa final'!$AA$25="Baja",'Mapa final'!$AC$25="Moderado"),CONCATENATE("R4C",'Mapa final'!$Q$25),"")</f>
        <v/>
      </c>
      <c r="AA39" s="53" t="str">
        <f>IF(AND('Mapa final'!$AA$26="Baja",'Mapa final'!$AC$26="Moderado"),CONCATENATE("R4C",'Mapa final'!$Q$26),"")</f>
        <v/>
      </c>
      <c r="AB39" s="36" t="str">
        <f>IF(AND('Mapa final'!$AA$21="Baja",'Mapa final'!$AC$21="Mayor"),CONCATENATE("R4C",'Mapa final'!$Q$21),"")</f>
        <v/>
      </c>
      <c r="AC39" s="37" t="str">
        <f>IF(AND('Mapa final'!$AA$22="Baja",'Mapa final'!$AC$22="Mayor"),CONCATENATE("R4C",'Mapa final'!$Q$22),"")</f>
        <v/>
      </c>
      <c r="AD39" s="37" t="str">
        <f>IF(AND('Mapa final'!$AA$23="Baja",'Mapa final'!$AC$23="Mayor"),CONCATENATE("R4C",'Mapa final'!$Q$23),"")</f>
        <v/>
      </c>
      <c r="AE39" s="37" t="str">
        <f>IF(AND('Mapa final'!$AA$24="Baja",'Mapa final'!$AC$24="Mayor"),CONCATENATE("R4C",'Mapa final'!$Q$24),"")</f>
        <v/>
      </c>
      <c r="AF39" s="37" t="str">
        <f>IF(AND('Mapa final'!$AA$25="Baja",'Mapa final'!$AC$25="Mayor"),CONCATENATE("R4C",'Mapa final'!$Q$25),"")</f>
        <v/>
      </c>
      <c r="AG39" s="38" t="str">
        <f>IF(AND('Mapa final'!$AA$26="Baja",'Mapa final'!$AC$26="Mayor"),CONCATENATE("R4C",'Mapa final'!$Q$26),"")</f>
        <v/>
      </c>
      <c r="AH39" s="39" t="str">
        <f>IF(AND('Mapa final'!$AA$21="Baja",'Mapa final'!$AC$21="Catastrófico"),CONCATENATE("R4C",'Mapa final'!$Q$21),"")</f>
        <v/>
      </c>
      <c r="AI39" s="40" t="str">
        <f>IF(AND('Mapa final'!$AA$22="Baja",'Mapa final'!$AC$22="Catastrófico"),CONCATENATE("R4C",'Mapa final'!$Q$22),"")</f>
        <v/>
      </c>
      <c r="AJ39" s="40" t="str">
        <f>IF(AND('Mapa final'!$AA$23="Baja",'Mapa final'!$AC$23="Catastrófico"),CONCATENATE("R4C",'Mapa final'!$Q$23),"")</f>
        <v/>
      </c>
      <c r="AK39" s="40" t="str">
        <f>IF(AND('Mapa final'!$AA$24="Baja",'Mapa final'!$AC$24="Catastrófico"),CONCATENATE("R4C",'Mapa final'!$Q$24),"")</f>
        <v/>
      </c>
      <c r="AL39" s="40" t="str">
        <f>IF(AND('Mapa final'!$AA$25="Baja",'Mapa final'!$AC$25="Catastrófico"),CONCATENATE("R4C",'Mapa final'!$Q$25),"")</f>
        <v/>
      </c>
      <c r="AM39" s="41" t="str">
        <f>IF(AND('Mapa final'!$AA$26="Baja",'Mapa final'!$AC$26="Catastrófico"),CONCATENATE("R4C",'Mapa final'!$Q$26),"")</f>
        <v/>
      </c>
      <c r="AN39" s="67"/>
      <c r="AO39" s="413"/>
      <c r="AP39" s="414"/>
      <c r="AQ39" s="414"/>
      <c r="AR39" s="414"/>
      <c r="AS39" s="414"/>
      <c r="AT39" s="415"/>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294"/>
      <c r="C40" s="294"/>
      <c r="D40" s="295"/>
      <c r="E40" s="393"/>
      <c r="F40" s="392"/>
      <c r="G40" s="392"/>
      <c r="H40" s="392"/>
      <c r="I40" s="392"/>
      <c r="J40" s="60" t="str">
        <f>IF(AND('Mapa final'!$AA$27="Baja",'Mapa final'!$AC$27="Leve"),CONCATENATE("R5C",'Mapa final'!$Q$27),"")</f>
        <v/>
      </c>
      <c r="K40" s="61" t="str">
        <f>IF(AND('Mapa final'!$AA$28="Baja",'Mapa final'!$AC$28="Leve"),CONCATENATE("R5C",'Mapa final'!$Q$28),"")</f>
        <v/>
      </c>
      <c r="L40" s="61" t="str">
        <f>IF(AND('Mapa final'!$AA$29="Baja",'Mapa final'!$AC$29="Leve"),CONCATENATE("R5C",'Mapa final'!$Q$29),"")</f>
        <v/>
      </c>
      <c r="M40" s="61" t="str">
        <f>IF(AND('Mapa final'!$AA$30="Baja",'Mapa final'!$AC$30="Leve"),CONCATENATE("R5C",'Mapa final'!$Q$30),"")</f>
        <v/>
      </c>
      <c r="N40" s="61" t="str">
        <f>IF(AND('Mapa final'!$AA$31="Baja",'Mapa final'!$AC$31="Leve"),CONCATENATE("R5C",'Mapa final'!$Q$31),"")</f>
        <v/>
      </c>
      <c r="O40" s="62" t="str">
        <f>IF(AND('Mapa final'!$AA$32="Baja",'Mapa final'!$AC$32="Leve"),CONCATENATE("R5C",'Mapa final'!$Q$32),"")</f>
        <v/>
      </c>
      <c r="P40" s="51" t="str">
        <f>IF(AND('Mapa final'!$AA$27="Baja",'Mapa final'!$AC$27="Menor"),CONCATENATE("R5C",'Mapa final'!$Q$27),"")</f>
        <v/>
      </c>
      <c r="Q40" s="52" t="str">
        <f>IF(AND('Mapa final'!$AA$28="Baja",'Mapa final'!$AC$28="Menor"),CONCATENATE("R5C",'Mapa final'!$Q$28),"")</f>
        <v/>
      </c>
      <c r="R40" s="52" t="str">
        <f>IF(AND('Mapa final'!$AA$29="Baja",'Mapa final'!$AC$29="Menor"),CONCATENATE("R5C",'Mapa final'!$Q$29),"")</f>
        <v/>
      </c>
      <c r="S40" s="52" t="str">
        <f>IF(AND('Mapa final'!$AA$30="Baja",'Mapa final'!$AC$30="Menor"),CONCATENATE("R5C",'Mapa final'!$Q$30),"")</f>
        <v/>
      </c>
      <c r="T40" s="52" t="str">
        <f>IF(AND('Mapa final'!$AA$31="Baja",'Mapa final'!$AC$31="Menor"),CONCATENATE("R5C",'Mapa final'!$Q$31),"")</f>
        <v/>
      </c>
      <c r="U40" s="53" t="str">
        <f>IF(AND('Mapa final'!$AA$32="Baja",'Mapa final'!$AC$32="Menor"),CONCATENATE("R5C",'Mapa final'!$Q$32),"")</f>
        <v/>
      </c>
      <c r="V40" s="51" t="str">
        <f>IF(AND('Mapa final'!$AA$27="Baja",'Mapa final'!$AC$27="Moderado"),CONCATENATE("R5C",'Mapa final'!$Q$27),"")</f>
        <v/>
      </c>
      <c r="W40" s="52" t="str">
        <f>IF(AND('Mapa final'!$AA$28="Baja",'Mapa final'!$AC$28="Moderado"),CONCATENATE("R5C",'Mapa final'!$Q$28),"")</f>
        <v/>
      </c>
      <c r="X40" s="52" t="str">
        <f>IF(AND('Mapa final'!$AA$29="Baja",'Mapa final'!$AC$29="Moderado"),CONCATENATE("R5C",'Mapa final'!$Q$29),"")</f>
        <v/>
      </c>
      <c r="Y40" s="52" t="str">
        <f>IF(AND('Mapa final'!$AA$30="Baja",'Mapa final'!$AC$30="Moderado"),CONCATENATE("R5C",'Mapa final'!$Q$30),"")</f>
        <v/>
      </c>
      <c r="Z40" s="52" t="str">
        <f>IF(AND('Mapa final'!$AA$31="Baja",'Mapa final'!$AC$31="Moderado"),CONCATENATE("R5C",'Mapa final'!$Q$31),"")</f>
        <v/>
      </c>
      <c r="AA40" s="53" t="str">
        <f>IF(AND('Mapa final'!$AA$32="Baja",'Mapa final'!$AC$32="Moderado"),CONCATENATE("R5C",'Mapa final'!$Q$32),"")</f>
        <v/>
      </c>
      <c r="AB40" s="36" t="str">
        <f>IF(AND('Mapa final'!$AA$27="Baja",'Mapa final'!$AC$27="Mayor"),CONCATENATE("R5C",'Mapa final'!$Q$27),"")</f>
        <v/>
      </c>
      <c r="AC40" s="37" t="str">
        <f>IF(AND('Mapa final'!$AA$28="Baja",'Mapa final'!$AC$28="Mayor"),CONCATENATE("R5C",'Mapa final'!$Q$28),"")</f>
        <v/>
      </c>
      <c r="AD40" s="37" t="str">
        <f>IF(AND('Mapa final'!$AA$29="Baja",'Mapa final'!$AC$29="Mayor"),CONCATENATE("R5C",'Mapa final'!$Q$29),"")</f>
        <v/>
      </c>
      <c r="AE40" s="37" t="str">
        <f>IF(AND('Mapa final'!$AA$30="Baja",'Mapa final'!$AC$30="Mayor"),CONCATENATE("R5C",'Mapa final'!$Q$30),"")</f>
        <v/>
      </c>
      <c r="AF40" s="37" t="str">
        <f>IF(AND('Mapa final'!$AA$31="Baja",'Mapa final'!$AC$31="Mayor"),CONCATENATE("R5C",'Mapa final'!$Q$31),"")</f>
        <v/>
      </c>
      <c r="AG40" s="38" t="str">
        <f>IF(AND('Mapa final'!$AA$32="Baja",'Mapa final'!$AC$32="Mayor"),CONCATENATE("R5C",'Mapa final'!$Q$32),"")</f>
        <v/>
      </c>
      <c r="AH40" s="39" t="str">
        <f>IF(AND('Mapa final'!$AA$27="Baja",'Mapa final'!$AC$27="Catastrófico"),CONCATENATE("R5C",'Mapa final'!$Q$27),"")</f>
        <v/>
      </c>
      <c r="AI40" s="40" t="str">
        <f>IF(AND('Mapa final'!$AA$28="Baja",'Mapa final'!$AC$28="Catastrófico"),CONCATENATE("R5C",'Mapa final'!$Q$28),"")</f>
        <v/>
      </c>
      <c r="AJ40" s="40" t="str">
        <f>IF(AND('Mapa final'!$AA$29="Baja",'Mapa final'!$AC$29="Catastrófico"),CONCATENATE("R5C",'Mapa final'!$Q$29),"")</f>
        <v/>
      </c>
      <c r="AK40" s="40" t="str">
        <f>IF(AND('Mapa final'!$AA$30="Baja",'Mapa final'!$AC$30="Catastrófico"),CONCATENATE("R5C",'Mapa final'!$Q$30),"")</f>
        <v/>
      </c>
      <c r="AL40" s="40" t="str">
        <f>IF(AND('Mapa final'!$AA$31="Baja",'Mapa final'!$AC$31="Catastrófico"),CONCATENATE("R5C",'Mapa final'!$Q$31),"")</f>
        <v/>
      </c>
      <c r="AM40" s="41" t="str">
        <f>IF(AND('Mapa final'!$AA$32="Baja",'Mapa final'!$AC$32="Catastrófico"),CONCATENATE("R5C",'Mapa final'!$Q$32),"")</f>
        <v/>
      </c>
      <c r="AN40" s="67"/>
      <c r="AO40" s="413"/>
      <c r="AP40" s="414"/>
      <c r="AQ40" s="414"/>
      <c r="AR40" s="414"/>
      <c r="AS40" s="414"/>
      <c r="AT40" s="415"/>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294"/>
      <c r="C41" s="294"/>
      <c r="D41" s="295"/>
      <c r="E41" s="393"/>
      <c r="F41" s="392"/>
      <c r="G41" s="392"/>
      <c r="H41" s="392"/>
      <c r="I41" s="392"/>
      <c r="J41" s="60" t="str">
        <f>IF(AND('Mapa final'!$AA$33="Baja",'Mapa final'!$AC$33="Leve"),CONCATENATE("R6C",'Mapa final'!$Q$33),"")</f>
        <v/>
      </c>
      <c r="K41" s="61" t="str">
        <f>IF(AND('Mapa final'!$AA$34="Baja",'Mapa final'!$AC$34="Leve"),CONCATENATE("R6C",'Mapa final'!$Q$34),"")</f>
        <v/>
      </c>
      <c r="L41" s="61" t="str">
        <f>IF(AND('Mapa final'!$AA$35="Baja",'Mapa final'!$AC$35="Leve"),CONCATENATE("R6C",'Mapa final'!$Q$35),"")</f>
        <v/>
      </c>
      <c r="M41" s="61" t="str">
        <f>IF(AND('Mapa final'!$AA$36="Baja",'Mapa final'!$AC$36="Leve"),CONCATENATE("R6C",'Mapa final'!$Q$36),"")</f>
        <v/>
      </c>
      <c r="N41" s="61" t="str">
        <f>IF(AND('Mapa final'!$AA$37="Baja",'Mapa final'!$AC$37="Leve"),CONCATENATE("R6C",'Mapa final'!$Q$37),"")</f>
        <v/>
      </c>
      <c r="O41" s="62" t="str">
        <f>IF(AND('Mapa final'!$AA$38="Baja",'Mapa final'!$AC$38="Leve"),CONCATENATE("R6C",'Mapa final'!$Q$38),"")</f>
        <v/>
      </c>
      <c r="P41" s="51" t="str">
        <f>IF(AND('Mapa final'!$AA$33="Baja",'Mapa final'!$AC$33="Menor"),CONCATENATE("R6C",'Mapa final'!$Q$33),"")</f>
        <v/>
      </c>
      <c r="Q41" s="52" t="str">
        <f>IF(AND('Mapa final'!$AA$34="Baja",'Mapa final'!$AC$34="Menor"),CONCATENATE("R6C",'Mapa final'!$Q$34),"")</f>
        <v/>
      </c>
      <c r="R41" s="52" t="str">
        <f>IF(AND('Mapa final'!$AA$35="Baja",'Mapa final'!$AC$35="Menor"),CONCATENATE("R6C",'Mapa final'!$Q$35),"")</f>
        <v/>
      </c>
      <c r="S41" s="52" t="str">
        <f>IF(AND('Mapa final'!$AA$36="Baja",'Mapa final'!$AC$36="Menor"),CONCATENATE("R6C",'Mapa final'!$Q$36),"")</f>
        <v/>
      </c>
      <c r="T41" s="52" t="str">
        <f>IF(AND('Mapa final'!$AA$37="Baja",'Mapa final'!$AC$37="Menor"),CONCATENATE("R6C",'Mapa final'!$Q$37),"")</f>
        <v/>
      </c>
      <c r="U41" s="53" t="str">
        <f>IF(AND('Mapa final'!$AA$38="Baja",'Mapa final'!$AC$38="Menor"),CONCATENATE("R6C",'Mapa final'!$Q$38),"")</f>
        <v/>
      </c>
      <c r="V41" s="51" t="str">
        <f>IF(AND('Mapa final'!$AA$33="Baja",'Mapa final'!$AC$33="Moderado"),CONCATENATE("R6C",'Mapa final'!$Q$33),"")</f>
        <v/>
      </c>
      <c r="W41" s="52" t="str">
        <f>IF(AND('Mapa final'!$AA$34="Baja",'Mapa final'!$AC$34="Moderado"),CONCATENATE("R6C",'Mapa final'!$Q$34),"")</f>
        <v/>
      </c>
      <c r="X41" s="52" t="str">
        <f>IF(AND('Mapa final'!$AA$35="Baja",'Mapa final'!$AC$35="Moderado"),CONCATENATE("R6C",'Mapa final'!$Q$35),"")</f>
        <v/>
      </c>
      <c r="Y41" s="52" t="str">
        <f>IF(AND('Mapa final'!$AA$36="Baja",'Mapa final'!$AC$36="Moderado"),CONCATENATE("R6C",'Mapa final'!$Q$36),"")</f>
        <v/>
      </c>
      <c r="Z41" s="52" t="str">
        <f>IF(AND('Mapa final'!$AA$37="Baja",'Mapa final'!$AC$37="Moderado"),CONCATENATE("R6C",'Mapa final'!$Q$37),"")</f>
        <v/>
      </c>
      <c r="AA41" s="53" t="str">
        <f>IF(AND('Mapa final'!$AA$38="Baja",'Mapa final'!$AC$38="Moderado"),CONCATENATE("R6C",'Mapa final'!$Q$38),"")</f>
        <v/>
      </c>
      <c r="AB41" s="36" t="str">
        <f>IF(AND('Mapa final'!$AA$33="Baja",'Mapa final'!$AC$33="Mayor"),CONCATENATE("R6C",'Mapa final'!$Q$33),"")</f>
        <v/>
      </c>
      <c r="AC41" s="37" t="str">
        <f>IF(AND('Mapa final'!$AA$34="Baja",'Mapa final'!$AC$34="Mayor"),CONCATENATE("R6C",'Mapa final'!$Q$34),"")</f>
        <v/>
      </c>
      <c r="AD41" s="37" t="str">
        <f>IF(AND('Mapa final'!$AA$35="Baja",'Mapa final'!$AC$35="Mayor"),CONCATENATE("R6C",'Mapa final'!$Q$35),"")</f>
        <v/>
      </c>
      <c r="AE41" s="37" t="str">
        <f>IF(AND('Mapa final'!$AA$36="Baja",'Mapa final'!$AC$36="Mayor"),CONCATENATE("R6C",'Mapa final'!$Q$36),"")</f>
        <v/>
      </c>
      <c r="AF41" s="37" t="str">
        <f>IF(AND('Mapa final'!$AA$37="Baja",'Mapa final'!$AC$37="Mayor"),CONCATENATE("R6C",'Mapa final'!$Q$37),"")</f>
        <v/>
      </c>
      <c r="AG41" s="38" t="str">
        <f>IF(AND('Mapa final'!$AA$38="Baja",'Mapa final'!$AC$38="Mayor"),CONCATENATE("R6C",'Mapa final'!$Q$38),"")</f>
        <v/>
      </c>
      <c r="AH41" s="39" t="str">
        <f>IF(AND('Mapa final'!$AA$33="Baja",'Mapa final'!$AC$33="Catastrófico"),CONCATENATE("R6C",'Mapa final'!$Q$33),"")</f>
        <v/>
      </c>
      <c r="AI41" s="40" t="str">
        <f>IF(AND('Mapa final'!$AA$34="Baja",'Mapa final'!$AC$34="Catastrófico"),CONCATENATE("R6C",'Mapa final'!$Q$34),"")</f>
        <v/>
      </c>
      <c r="AJ41" s="40" t="str">
        <f>IF(AND('Mapa final'!$AA$35="Baja",'Mapa final'!$AC$35="Catastrófico"),CONCATENATE("R6C",'Mapa final'!$Q$35),"")</f>
        <v/>
      </c>
      <c r="AK41" s="40" t="str">
        <f>IF(AND('Mapa final'!$AA$36="Baja",'Mapa final'!$AC$36="Catastrófico"),CONCATENATE("R6C",'Mapa final'!$Q$36),"")</f>
        <v/>
      </c>
      <c r="AL41" s="40" t="str">
        <f>IF(AND('Mapa final'!$AA$37="Baja",'Mapa final'!$AC$37="Catastrófico"),CONCATENATE("R6C",'Mapa final'!$Q$37),"")</f>
        <v/>
      </c>
      <c r="AM41" s="41" t="str">
        <f>IF(AND('Mapa final'!$AA$38="Baja",'Mapa final'!$AC$38="Catastrófico"),CONCATENATE("R6C",'Mapa final'!$Q$38),"")</f>
        <v/>
      </c>
      <c r="AN41" s="67"/>
      <c r="AO41" s="413"/>
      <c r="AP41" s="414"/>
      <c r="AQ41" s="414"/>
      <c r="AR41" s="414"/>
      <c r="AS41" s="414"/>
      <c r="AT41" s="415"/>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294"/>
      <c r="C42" s="294"/>
      <c r="D42" s="295"/>
      <c r="E42" s="393"/>
      <c r="F42" s="392"/>
      <c r="G42" s="392"/>
      <c r="H42" s="392"/>
      <c r="I42" s="392"/>
      <c r="J42" s="60" t="str">
        <f>IF(AND('Mapa final'!$AA$39="Baja",'Mapa final'!$AC$39="Leve"),CONCATENATE("R7C",'Mapa final'!$Q$39),"")</f>
        <v/>
      </c>
      <c r="K42" s="61" t="str">
        <f>IF(AND('Mapa final'!$AA$40="Baja",'Mapa final'!$AC$40="Leve"),CONCATENATE("R7C",'Mapa final'!$Q$40),"")</f>
        <v/>
      </c>
      <c r="L42" s="61" t="str">
        <f>IF(AND('Mapa final'!$AA$41="Baja",'Mapa final'!$AC$41="Leve"),CONCATENATE("R7C",'Mapa final'!$Q$41),"")</f>
        <v/>
      </c>
      <c r="M42" s="61" t="str">
        <f>IF(AND('Mapa final'!$AA$42="Baja",'Mapa final'!$AC$42="Leve"),CONCATENATE("R7C",'Mapa final'!$Q$42),"")</f>
        <v/>
      </c>
      <c r="N42" s="61" t="str">
        <f>IF(AND('Mapa final'!$AA$43="Baja",'Mapa final'!$AC$43="Leve"),CONCATENATE("R7C",'Mapa final'!$Q$43),"")</f>
        <v/>
      </c>
      <c r="O42" s="62" t="str">
        <f>IF(AND('Mapa final'!$AA$44="Baja",'Mapa final'!$AC$44="Leve"),CONCATENATE("R7C",'Mapa final'!$Q$44),"")</f>
        <v/>
      </c>
      <c r="P42" s="51" t="str">
        <f>IF(AND('Mapa final'!$AA$39="Baja",'Mapa final'!$AC$39="Menor"),CONCATENATE("R7C",'Mapa final'!$Q$39),"")</f>
        <v/>
      </c>
      <c r="Q42" s="52" t="str">
        <f>IF(AND('Mapa final'!$AA$40="Baja",'Mapa final'!$AC$40="Menor"),CONCATENATE("R7C",'Mapa final'!$Q$40),"")</f>
        <v/>
      </c>
      <c r="R42" s="52" t="str">
        <f>IF(AND('Mapa final'!$AA$41="Baja",'Mapa final'!$AC$41="Menor"),CONCATENATE("R7C",'Mapa final'!$Q$41),"")</f>
        <v/>
      </c>
      <c r="S42" s="52" t="str">
        <f>IF(AND('Mapa final'!$AA$42="Baja",'Mapa final'!$AC$42="Menor"),CONCATENATE("R7C",'Mapa final'!$Q$42),"")</f>
        <v/>
      </c>
      <c r="T42" s="52" t="str">
        <f>IF(AND('Mapa final'!$AA$43="Baja",'Mapa final'!$AC$43="Menor"),CONCATENATE("R7C",'Mapa final'!$Q$43),"")</f>
        <v/>
      </c>
      <c r="U42" s="53" t="str">
        <f>IF(AND('Mapa final'!$AA$44="Baja",'Mapa final'!$AC$44="Menor"),CONCATENATE("R7C",'Mapa final'!$Q$44),"")</f>
        <v/>
      </c>
      <c r="V42" s="51" t="str">
        <f>IF(AND('Mapa final'!$AA$39="Baja",'Mapa final'!$AC$39="Moderado"),CONCATENATE("R7C",'Mapa final'!$Q$39),"")</f>
        <v/>
      </c>
      <c r="W42" s="52" t="str">
        <f>IF(AND('Mapa final'!$AA$40="Baja",'Mapa final'!$AC$40="Moderado"),CONCATENATE("R7C",'Mapa final'!$Q$40),"")</f>
        <v/>
      </c>
      <c r="X42" s="52" t="str">
        <f>IF(AND('Mapa final'!$AA$41="Baja",'Mapa final'!$AC$41="Moderado"),CONCATENATE("R7C",'Mapa final'!$Q$41),"")</f>
        <v/>
      </c>
      <c r="Y42" s="52" t="str">
        <f>IF(AND('Mapa final'!$AA$42="Baja",'Mapa final'!$AC$42="Moderado"),CONCATENATE("R7C",'Mapa final'!$Q$42),"")</f>
        <v/>
      </c>
      <c r="Z42" s="52" t="str">
        <f>IF(AND('Mapa final'!$AA$43="Baja",'Mapa final'!$AC$43="Moderado"),CONCATENATE("R7C",'Mapa final'!$Q$43),"")</f>
        <v/>
      </c>
      <c r="AA42" s="53" t="str">
        <f>IF(AND('Mapa final'!$AA$44="Baja",'Mapa final'!$AC$44="Moderado"),CONCATENATE("R7C",'Mapa final'!$Q$44),"")</f>
        <v/>
      </c>
      <c r="AB42" s="36" t="str">
        <f>IF(AND('Mapa final'!$AA$39="Baja",'Mapa final'!$AC$39="Mayor"),CONCATENATE("R7C",'Mapa final'!$Q$39),"")</f>
        <v/>
      </c>
      <c r="AC42" s="37" t="str">
        <f>IF(AND('Mapa final'!$AA$40="Baja",'Mapa final'!$AC$40="Mayor"),CONCATENATE("R7C",'Mapa final'!$Q$40),"")</f>
        <v/>
      </c>
      <c r="AD42" s="37" t="str">
        <f>IF(AND('Mapa final'!$AA$41="Baja",'Mapa final'!$AC$41="Mayor"),CONCATENATE("R7C",'Mapa final'!$Q$41),"")</f>
        <v/>
      </c>
      <c r="AE42" s="37" t="str">
        <f>IF(AND('Mapa final'!$AA$42="Baja",'Mapa final'!$AC$42="Mayor"),CONCATENATE("R7C",'Mapa final'!$Q$42),"")</f>
        <v/>
      </c>
      <c r="AF42" s="37" t="str">
        <f>IF(AND('Mapa final'!$AA$43="Baja",'Mapa final'!$AC$43="Mayor"),CONCATENATE("R7C",'Mapa final'!$Q$43),"")</f>
        <v/>
      </c>
      <c r="AG42" s="38" t="str">
        <f>IF(AND('Mapa final'!$AA$44="Baja",'Mapa final'!$AC$44="Mayor"),CONCATENATE("R7C",'Mapa final'!$Q$44),"")</f>
        <v/>
      </c>
      <c r="AH42" s="39" t="str">
        <f>IF(AND('Mapa final'!$AA$39="Baja",'Mapa final'!$AC$39="Catastrófico"),CONCATENATE("R7C",'Mapa final'!$Q$39),"")</f>
        <v/>
      </c>
      <c r="AI42" s="40" t="str">
        <f>IF(AND('Mapa final'!$AA$40="Baja",'Mapa final'!$AC$40="Catastrófico"),CONCATENATE("R7C",'Mapa final'!$Q$40),"")</f>
        <v/>
      </c>
      <c r="AJ42" s="40" t="str">
        <f>IF(AND('Mapa final'!$AA$41="Baja",'Mapa final'!$AC$41="Catastrófico"),CONCATENATE("R7C",'Mapa final'!$Q$41),"")</f>
        <v/>
      </c>
      <c r="AK42" s="40" t="str">
        <f>IF(AND('Mapa final'!$AA$42="Baja",'Mapa final'!$AC$42="Catastrófico"),CONCATENATE("R7C",'Mapa final'!$Q$42),"")</f>
        <v/>
      </c>
      <c r="AL42" s="40" t="str">
        <f>IF(AND('Mapa final'!$AA$43="Baja",'Mapa final'!$AC$43="Catastrófico"),CONCATENATE("R7C",'Mapa final'!$Q$43),"")</f>
        <v/>
      </c>
      <c r="AM42" s="41" t="str">
        <f>IF(AND('Mapa final'!$AA$44="Baja",'Mapa final'!$AC$44="Catastrófico"),CONCATENATE("R7C",'Mapa final'!$Q$44),"")</f>
        <v/>
      </c>
      <c r="AN42" s="67"/>
      <c r="AO42" s="413"/>
      <c r="AP42" s="414"/>
      <c r="AQ42" s="414"/>
      <c r="AR42" s="414"/>
      <c r="AS42" s="414"/>
      <c r="AT42" s="415"/>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294"/>
      <c r="C43" s="294"/>
      <c r="D43" s="295"/>
      <c r="E43" s="393"/>
      <c r="F43" s="392"/>
      <c r="G43" s="392"/>
      <c r="H43" s="392"/>
      <c r="I43" s="392"/>
      <c r="J43" s="60" t="str">
        <f>IF(AND('Mapa final'!$AA$45="Baja",'Mapa final'!$AC$45="Leve"),CONCATENATE("R8C",'Mapa final'!$Q$45),"")</f>
        <v/>
      </c>
      <c r="K43" s="61" t="str">
        <f>IF(AND('Mapa final'!$AA$46="Baja",'Mapa final'!$AC$46="Leve"),CONCATENATE("R8C",'Mapa final'!$Q$46),"")</f>
        <v/>
      </c>
      <c r="L43" s="61" t="str">
        <f>IF(AND('Mapa final'!$AA$47="Baja",'Mapa final'!$AC$47="Leve"),CONCATENATE("R8C",'Mapa final'!$Q$47),"")</f>
        <v/>
      </c>
      <c r="M43" s="61" t="str">
        <f>IF(AND('Mapa final'!$AA$48="Baja",'Mapa final'!$AC$48="Leve"),CONCATENATE("R8C",'Mapa final'!$Q$48),"")</f>
        <v/>
      </c>
      <c r="N43" s="61" t="str">
        <f>IF(AND('Mapa final'!$AA$49="Baja",'Mapa final'!$AC$49="Leve"),CONCATENATE("R8C",'Mapa final'!$Q$49),"")</f>
        <v/>
      </c>
      <c r="O43" s="62" t="str">
        <f>IF(AND('Mapa final'!$AA$50="Baja",'Mapa final'!$AC$50="Leve"),CONCATENATE("R8C",'Mapa final'!$Q$50),"")</f>
        <v/>
      </c>
      <c r="P43" s="51" t="str">
        <f>IF(AND('Mapa final'!$AA$45="Baja",'Mapa final'!$AC$45="Menor"),CONCATENATE("R8C",'Mapa final'!$Q$45),"")</f>
        <v/>
      </c>
      <c r="Q43" s="52" t="str">
        <f>IF(AND('Mapa final'!$AA$46="Baja",'Mapa final'!$AC$46="Menor"),CONCATENATE("R8C",'Mapa final'!$Q$46),"")</f>
        <v/>
      </c>
      <c r="R43" s="52" t="str">
        <f>IF(AND('Mapa final'!$AA$47="Baja",'Mapa final'!$AC$47="Menor"),CONCATENATE("R8C",'Mapa final'!$Q$47),"")</f>
        <v/>
      </c>
      <c r="S43" s="52" t="str">
        <f>IF(AND('Mapa final'!$AA$48="Baja",'Mapa final'!$AC$48="Menor"),CONCATENATE("R8C",'Mapa final'!$Q$48),"")</f>
        <v/>
      </c>
      <c r="T43" s="52" t="str">
        <f>IF(AND('Mapa final'!$AA$49="Baja",'Mapa final'!$AC$49="Menor"),CONCATENATE("R8C",'Mapa final'!$Q$49),"")</f>
        <v/>
      </c>
      <c r="U43" s="53" t="str">
        <f>IF(AND('Mapa final'!$AA$50="Baja",'Mapa final'!$AC$50="Menor"),CONCATENATE("R8C",'Mapa final'!$Q$50),"")</f>
        <v/>
      </c>
      <c r="V43" s="51" t="str">
        <f>IF(AND('Mapa final'!$AA$45="Baja",'Mapa final'!$AC$45="Moderado"),CONCATENATE("R8C",'Mapa final'!$Q$45),"")</f>
        <v/>
      </c>
      <c r="W43" s="52" t="str">
        <f>IF(AND('Mapa final'!$AA$46="Baja",'Mapa final'!$AC$46="Moderado"),CONCATENATE("R8C",'Mapa final'!$Q$46),"")</f>
        <v/>
      </c>
      <c r="X43" s="52" t="str">
        <f>IF(AND('Mapa final'!$AA$47="Baja",'Mapa final'!$AC$47="Moderado"),CONCATENATE("R8C",'Mapa final'!$Q$47),"")</f>
        <v/>
      </c>
      <c r="Y43" s="52" t="str">
        <f>IF(AND('Mapa final'!$AA$48="Baja",'Mapa final'!$AC$48="Moderado"),CONCATENATE("R8C",'Mapa final'!$Q$48),"")</f>
        <v/>
      </c>
      <c r="Z43" s="52" t="str">
        <f>IF(AND('Mapa final'!$AA$49="Baja",'Mapa final'!$AC$49="Moderado"),CONCATENATE("R8C",'Mapa final'!$Q$49),"")</f>
        <v/>
      </c>
      <c r="AA43" s="53" t="str">
        <f>IF(AND('Mapa final'!$AA$50="Baja",'Mapa final'!$AC$50="Moderado"),CONCATENATE("R8C",'Mapa final'!$Q$50),"")</f>
        <v/>
      </c>
      <c r="AB43" s="36" t="str">
        <f>IF(AND('Mapa final'!$AA$45="Baja",'Mapa final'!$AC$45="Mayor"),CONCATENATE("R8C",'Mapa final'!$Q$45),"")</f>
        <v/>
      </c>
      <c r="AC43" s="37" t="str">
        <f>IF(AND('Mapa final'!$AA$46="Baja",'Mapa final'!$AC$46="Mayor"),CONCATENATE("R8C",'Mapa final'!$Q$46),"")</f>
        <v/>
      </c>
      <c r="AD43" s="37" t="str">
        <f>IF(AND('Mapa final'!$AA$47="Baja",'Mapa final'!$AC$47="Mayor"),CONCATENATE("R8C",'Mapa final'!$Q$47),"")</f>
        <v/>
      </c>
      <c r="AE43" s="37" t="str">
        <f>IF(AND('Mapa final'!$AA$48="Baja",'Mapa final'!$AC$48="Mayor"),CONCATENATE("R8C",'Mapa final'!$Q$48),"")</f>
        <v/>
      </c>
      <c r="AF43" s="37" t="str">
        <f>IF(AND('Mapa final'!$AA$49="Baja",'Mapa final'!$AC$49="Mayor"),CONCATENATE("R8C",'Mapa final'!$Q$49),"")</f>
        <v/>
      </c>
      <c r="AG43" s="38" t="str">
        <f>IF(AND('Mapa final'!$AA$50="Baja",'Mapa final'!$AC$50="Mayor"),CONCATENATE("R8C",'Mapa final'!$Q$50),"")</f>
        <v/>
      </c>
      <c r="AH43" s="39" t="str">
        <f>IF(AND('Mapa final'!$AA$45="Baja",'Mapa final'!$AC$45="Catastrófico"),CONCATENATE("R8C",'Mapa final'!$Q$45),"")</f>
        <v/>
      </c>
      <c r="AI43" s="40" t="str">
        <f>IF(AND('Mapa final'!$AA$46="Baja",'Mapa final'!$AC$46="Catastrófico"),CONCATENATE("R8C",'Mapa final'!$Q$46),"")</f>
        <v/>
      </c>
      <c r="AJ43" s="40" t="str">
        <f>IF(AND('Mapa final'!$AA$47="Baja",'Mapa final'!$AC$47="Catastrófico"),CONCATENATE("R8C",'Mapa final'!$Q$47),"")</f>
        <v/>
      </c>
      <c r="AK43" s="40" t="str">
        <f>IF(AND('Mapa final'!$AA$48="Baja",'Mapa final'!$AC$48="Catastrófico"),CONCATENATE("R8C",'Mapa final'!$Q$48),"")</f>
        <v/>
      </c>
      <c r="AL43" s="40" t="str">
        <f>IF(AND('Mapa final'!$AA$49="Baja",'Mapa final'!$AC$49="Catastrófico"),CONCATENATE("R8C",'Mapa final'!$Q$49),"")</f>
        <v/>
      </c>
      <c r="AM43" s="41" t="str">
        <f>IF(AND('Mapa final'!$AA$50="Baja",'Mapa final'!$AC$50="Catastrófico"),CONCATENATE("R8C",'Mapa final'!$Q$50),"")</f>
        <v/>
      </c>
      <c r="AN43" s="67"/>
      <c r="AO43" s="413"/>
      <c r="AP43" s="414"/>
      <c r="AQ43" s="414"/>
      <c r="AR43" s="414"/>
      <c r="AS43" s="414"/>
      <c r="AT43" s="415"/>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294"/>
      <c r="C44" s="294"/>
      <c r="D44" s="295"/>
      <c r="E44" s="393"/>
      <c r="F44" s="392"/>
      <c r="G44" s="392"/>
      <c r="H44" s="392"/>
      <c r="I44" s="392"/>
      <c r="J44" s="60" t="str">
        <f>IF(AND('Mapa final'!$AA$51="Baja",'Mapa final'!$AC$51="Leve"),CONCATENATE("R9C",'Mapa final'!$Q$51),"")</f>
        <v/>
      </c>
      <c r="K44" s="61" t="str">
        <f>IF(AND('Mapa final'!$AA$52="Baja",'Mapa final'!$AC$52="Leve"),CONCATENATE("R9C",'Mapa final'!$Q$52),"")</f>
        <v/>
      </c>
      <c r="L44" s="61" t="str">
        <f>IF(AND('Mapa final'!$AA$53="Baja",'Mapa final'!$AC$53="Leve"),CONCATENATE("R9C",'Mapa final'!$Q$53),"")</f>
        <v/>
      </c>
      <c r="M44" s="61" t="str">
        <f>IF(AND('Mapa final'!$AA$54="Baja",'Mapa final'!$AC$54="Leve"),CONCATENATE("R9C",'Mapa final'!$Q$54),"")</f>
        <v/>
      </c>
      <c r="N44" s="61" t="str">
        <f>IF(AND('Mapa final'!$AA$55="Baja",'Mapa final'!$AC$55="Leve"),CONCATENATE("R9C",'Mapa final'!$Q$55),"")</f>
        <v/>
      </c>
      <c r="O44" s="62" t="str">
        <f>IF(AND('Mapa final'!$AA$56="Baja",'Mapa final'!$AC$56="Leve"),CONCATENATE("R9C",'Mapa final'!$Q$56),"")</f>
        <v/>
      </c>
      <c r="P44" s="51" t="str">
        <f>IF(AND('Mapa final'!$AA$51="Baja",'Mapa final'!$AC$51="Menor"),CONCATENATE("R9C",'Mapa final'!$Q$51),"")</f>
        <v/>
      </c>
      <c r="Q44" s="52" t="str">
        <f>IF(AND('Mapa final'!$AA$52="Baja",'Mapa final'!$AC$52="Menor"),CONCATENATE("R9C",'Mapa final'!$Q$52),"")</f>
        <v/>
      </c>
      <c r="R44" s="52" t="str">
        <f>IF(AND('Mapa final'!$AA$53="Baja",'Mapa final'!$AC$53="Menor"),CONCATENATE("R9C",'Mapa final'!$Q$53),"")</f>
        <v/>
      </c>
      <c r="S44" s="52" t="str">
        <f>IF(AND('Mapa final'!$AA$54="Baja",'Mapa final'!$AC$54="Menor"),CONCATENATE("R9C",'Mapa final'!$Q$54),"")</f>
        <v/>
      </c>
      <c r="T44" s="52" t="str">
        <f>IF(AND('Mapa final'!$AA$55="Baja",'Mapa final'!$AC$55="Menor"),CONCATENATE("R9C",'Mapa final'!$Q$55),"")</f>
        <v/>
      </c>
      <c r="U44" s="53" t="str">
        <f>IF(AND('Mapa final'!$AA$56="Baja",'Mapa final'!$AC$56="Menor"),CONCATENATE("R9C",'Mapa final'!$Q$56),"")</f>
        <v/>
      </c>
      <c r="V44" s="51" t="str">
        <f>IF(AND('Mapa final'!$AA$51="Baja",'Mapa final'!$AC$51="Moderado"),CONCATENATE("R9C",'Mapa final'!$Q$51),"")</f>
        <v/>
      </c>
      <c r="W44" s="52" t="str">
        <f>IF(AND('Mapa final'!$AA$52="Baja",'Mapa final'!$AC$52="Moderado"),CONCATENATE("R9C",'Mapa final'!$Q$52),"")</f>
        <v/>
      </c>
      <c r="X44" s="52" t="str">
        <f>IF(AND('Mapa final'!$AA$53="Baja",'Mapa final'!$AC$53="Moderado"),CONCATENATE("R9C",'Mapa final'!$Q$53),"")</f>
        <v/>
      </c>
      <c r="Y44" s="52" t="str">
        <f>IF(AND('Mapa final'!$AA$54="Baja",'Mapa final'!$AC$54="Moderado"),CONCATENATE("R9C",'Mapa final'!$Q$54),"")</f>
        <v/>
      </c>
      <c r="Z44" s="52" t="str">
        <f>IF(AND('Mapa final'!$AA$55="Baja",'Mapa final'!$AC$55="Moderado"),CONCATENATE("R9C",'Mapa final'!$Q$55),"")</f>
        <v/>
      </c>
      <c r="AA44" s="53" t="str">
        <f>IF(AND('Mapa final'!$AA$56="Baja",'Mapa final'!$AC$56="Moderado"),CONCATENATE("R9C",'Mapa final'!$Q$56),"")</f>
        <v/>
      </c>
      <c r="AB44" s="36" t="str">
        <f>IF(AND('Mapa final'!$AA$51="Baja",'Mapa final'!$AC$51="Mayor"),CONCATENATE("R9C",'Mapa final'!$Q$51),"")</f>
        <v/>
      </c>
      <c r="AC44" s="37" t="str">
        <f>IF(AND('Mapa final'!$AA$52="Baja",'Mapa final'!$AC$52="Mayor"),CONCATENATE("R9C",'Mapa final'!$Q$52),"")</f>
        <v/>
      </c>
      <c r="AD44" s="37" t="str">
        <f>IF(AND('Mapa final'!$AA$53="Baja",'Mapa final'!$AC$53="Mayor"),CONCATENATE("R9C",'Mapa final'!$Q$53),"")</f>
        <v/>
      </c>
      <c r="AE44" s="37" t="str">
        <f>IF(AND('Mapa final'!$AA$54="Baja",'Mapa final'!$AC$54="Mayor"),CONCATENATE("R9C",'Mapa final'!$Q$54),"")</f>
        <v/>
      </c>
      <c r="AF44" s="37" t="str">
        <f>IF(AND('Mapa final'!$AA$55="Baja",'Mapa final'!$AC$55="Mayor"),CONCATENATE("R9C",'Mapa final'!$Q$55),"")</f>
        <v/>
      </c>
      <c r="AG44" s="38" t="str">
        <f>IF(AND('Mapa final'!$AA$56="Baja",'Mapa final'!$AC$56="Mayor"),CONCATENATE("R9C",'Mapa final'!$Q$56),"")</f>
        <v/>
      </c>
      <c r="AH44" s="39" t="str">
        <f>IF(AND('Mapa final'!$AA$51="Baja",'Mapa final'!$AC$51="Catastrófico"),CONCATENATE("R9C",'Mapa final'!$Q$51),"")</f>
        <v/>
      </c>
      <c r="AI44" s="40" t="str">
        <f>IF(AND('Mapa final'!$AA$52="Baja",'Mapa final'!$AC$52="Catastrófico"),CONCATENATE("R9C",'Mapa final'!$Q$52),"")</f>
        <v/>
      </c>
      <c r="AJ44" s="40" t="str">
        <f>IF(AND('Mapa final'!$AA$53="Baja",'Mapa final'!$AC$53="Catastrófico"),CONCATENATE("R9C",'Mapa final'!$Q$53),"")</f>
        <v/>
      </c>
      <c r="AK44" s="40" t="str">
        <f>IF(AND('Mapa final'!$AA$54="Baja",'Mapa final'!$AC$54="Catastrófico"),CONCATENATE("R9C",'Mapa final'!$Q$54),"")</f>
        <v/>
      </c>
      <c r="AL44" s="40" t="str">
        <f>IF(AND('Mapa final'!$AA$55="Baja",'Mapa final'!$AC$55="Catastrófico"),CONCATENATE("R9C",'Mapa final'!$Q$55),"")</f>
        <v/>
      </c>
      <c r="AM44" s="41" t="str">
        <f>IF(AND('Mapa final'!$AA$56="Baja",'Mapa final'!$AC$56="Catastrófico"),CONCATENATE("R9C",'Mapa final'!$Q$56),"")</f>
        <v/>
      </c>
      <c r="AN44" s="67"/>
      <c r="AO44" s="413"/>
      <c r="AP44" s="414"/>
      <c r="AQ44" s="414"/>
      <c r="AR44" s="414"/>
      <c r="AS44" s="414"/>
      <c r="AT44" s="415"/>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294"/>
      <c r="C45" s="294"/>
      <c r="D45" s="295"/>
      <c r="E45" s="394"/>
      <c r="F45" s="395"/>
      <c r="G45" s="395"/>
      <c r="H45" s="395"/>
      <c r="I45" s="395"/>
      <c r="J45" s="63" t="str">
        <f>IF(AND('Mapa final'!$AA$57="Baja",'Mapa final'!$AC$57="Leve"),CONCATENATE("R10C",'Mapa final'!$Q$57),"")</f>
        <v/>
      </c>
      <c r="K45" s="64" t="str">
        <f>IF(AND('Mapa final'!$AA$58="Baja",'Mapa final'!$AC$58="Leve"),CONCATENATE("R10C",'Mapa final'!$Q$58),"")</f>
        <v/>
      </c>
      <c r="L45" s="64" t="str">
        <f>IF(AND('Mapa final'!$AA$59="Baja",'Mapa final'!$AC$59="Leve"),CONCATENATE("R10C",'Mapa final'!$Q$59),"")</f>
        <v/>
      </c>
      <c r="M45" s="64" t="str">
        <f>IF(AND('Mapa final'!$AA$60="Baja",'Mapa final'!$AC$60="Leve"),CONCATENATE("R10C",'Mapa final'!$Q$60),"")</f>
        <v/>
      </c>
      <c r="N45" s="64" t="str">
        <f>IF(AND('Mapa final'!$AA$61="Baja",'Mapa final'!$AC$61="Leve"),CONCATENATE("R10C",'Mapa final'!$Q$61),"")</f>
        <v/>
      </c>
      <c r="O45" s="65" t="str">
        <f>IF(AND('Mapa final'!$AA$62="Baja",'Mapa final'!$AC$62="Leve"),CONCATENATE("R10C",'Mapa final'!$Q$62),"")</f>
        <v/>
      </c>
      <c r="P45" s="51" t="str">
        <f>IF(AND('Mapa final'!$AA$57="Baja",'Mapa final'!$AC$57="Menor"),CONCATENATE("R10C",'Mapa final'!$Q$57),"")</f>
        <v/>
      </c>
      <c r="Q45" s="52" t="str">
        <f>IF(AND('Mapa final'!$AA$58="Baja",'Mapa final'!$AC$58="Menor"),CONCATENATE("R10C",'Mapa final'!$Q$58),"")</f>
        <v/>
      </c>
      <c r="R45" s="52" t="str">
        <f>IF(AND('Mapa final'!$AA$59="Baja",'Mapa final'!$AC$59="Menor"),CONCATENATE("R10C",'Mapa final'!$Q$59),"")</f>
        <v/>
      </c>
      <c r="S45" s="52" t="str">
        <f>IF(AND('Mapa final'!$AA$60="Baja",'Mapa final'!$AC$60="Menor"),CONCATENATE("R10C",'Mapa final'!$Q$60),"")</f>
        <v/>
      </c>
      <c r="T45" s="52" t="str">
        <f>IF(AND('Mapa final'!$AA$61="Baja",'Mapa final'!$AC$61="Menor"),CONCATENATE("R10C",'Mapa final'!$Q$61),"")</f>
        <v/>
      </c>
      <c r="U45" s="53" t="str">
        <f>IF(AND('Mapa final'!$AA$62="Baja",'Mapa final'!$AC$62="Menor"),CONCATENATE("R10C",'Mapa final'!$Q$62),"")</f>
        <v/>
      </c>
      <c r="V45" s="54" t="str">
        <f>IF(AND('Mapa final'!$AA$57="Baja",'Mapa final'!$AC$57="Moderado"),CONCATENATE("R10C",'Mapa final'!$Q$57),"")</f>
        <v/>
      </c>
      <c r="W45" s="55" t="str">
        <f>IF(AND('Mapa final'!$AA$58="Baja",'Mapa final'!$AC$58="Moderado"),CONCATENATE("R10C",'Mapa final'!$Q$58),"")</f>
        <v/>
      </c>
      <c r="X45" s="55" t="str">
        <f>IF(AND('Mapa final'!$AA$59="Baja",'Mapa final'!$AC$59="Moderado"),CONCATENATE("R10C",'Mapa final'!$Q$59),"")</f>
        <v/>
      </c>
      <c r="Y45" s="55" t="str">
        <f>IF(AND('Mapa final'!$AA$60="Baja",'Mapa final'!$AC$60="Moderado"),CONCATENATE("R10C",'Mapa final'!$Q$60),"")</f>
        <v/>
      </c>
      <c r="Z45" s="55" t="str">
        <f>IF(AND('Mapa final'!$AA$61="Baja",'Mapa final'!$AC$61="Moderado"),CONCATENATE("R10C",'Mapa final'!$Q$61),"")</f>
        <v/>
      </c>
      <c r="AA45" s="56" t="str">
        <f>IF(AND('Mapa final'!$AA$62="Baja",'Mapa final'!$AC$62="Moderado"),CONCATENATE("R10C",'Mapa final'!$Q$62),"")</f>
        <v/>
      </c>
      <c r="AB45" s="42" t="str">
        <f>IF(AND('Mapa final'!$AA$57="Baja",'Mapa final'!$AC$57="Mayor"),CONCATENATE("R10C",'Mapa final'!$Q$57),"")</f>
        <v/>
      </c>
      <c r="AC45" s="43" t="str">
        <f>IF(AND('Mapa final'!$AA$58="Baja",'Mapa final'!$AC$58="Mayor"),CONCATENATE("R10C",'Mapa final'!$Q$58),"")</f>
        <v/>
      </c>
      <c r="AD45" s="43" t="str">
        <f>IF(AND('Mapa final'!$AA$59="Baja",'Mapa final'!$AC$59="Mayor"),CONCATENATE("R10C",'Mapa final'!$Q$59),"")</f>
        <v/>
      </c>
      <c r="AE45" s="43" t="str">
        <f>IF(AND('Mapa final'!$AA$60="Baja",'Mapa final'!$AC$60="Mayor"),CONCATENATE("R10C",'Mapa final'!$Q$60),"")</f>
        <v/>
      </c>
      <c r="AF45" s="43" t="str">
        <f>IF(AND('Mapa final'!$AA$61="Baja",'Mapa final'!$AC$61="Mayor"),CONCATENATE("R10C",'Mapa final'!$Q$61),"")</f>
        <v/>
      </c>
      <c r="AG45" s="44" t="str">
        <f>IF(AND('Mapa final'!$AA$62="Baja",'Mapa final'!$AC$62="Mayor"),CONCATENATE("R10C",'Mapa final'!$Q$62),"")</f>
        <v/>
      </c>
      <c r="AH45" s="45" t="str">
        <f>IF(AND('Mapa final'!$AA$57="Baja",'Mapa final'!$AC$57="Catastrófico"),CONCATENATE("R10C",'Mapa final'!$Q$57),"")</f>
        <v/>
      </c>
      <c r="AI45" s="46" t="str">
        <f>IF(AND('Mapa final'!$AA$58="Baja",'Mapa final'!$AC$58="Catastrófico"),CONCATENATE("R10C",'Mapa final'!$Q$58),"")</f>
        <v/>
      </c>
      <c r="AJ45" s="46" t="str">
        <f>IF(AND('Mapa final'!$AA$59="Baja",'Mapa final'!$AC$59="Catastrófico"),CONCATENATE("R10C",'Mapa final'!$Q$59),"")</f>
        <v/>
      </c>
      <c r="AK45" s="46" t="str">
        <f>IF(AND('Mapa final'!$AA$60="Baja",'Mapa final'!$AC$60="Catastrófico"),CONCATENATE("R10C",'Mapa final'!$Q$60),"")</f>
        <v/>
      </c>
      <c r="AL45" s="46" t="str">
        <f>IF(AND('Mapa final'!$AA$61="Baja",'Mapa final'!$AC$61="Catastrófico"),CONCATENATE("R10C",'Mapa final'!$Q$61),"")</f>
        <v/>
      </c>
      <c r="AM45" s="47" t="str">
        <f>IF(AND('Mapa final'!$AA$62="Baja",'Mapa final'!$AC$62="Catastrófico"),CONCATENATE("R10C",'Mapa final'!$Q$62),"")</f>
        <v/>
      </c>
      <c r="AN45" s="67"/>
      <c r="AO45" s="416"/>
      <c r="AP45" s="417"/>
      <c r="AQ45" s="417"/>
      <c r="AR45" s="417"/>
      <c r="AS45" s="417"/>
      <c r="AT45" s="418"/>
    </row>
    <row r="46" spans="1:80" ht="46.5" customHeight="1" x14ac:dyDescent="0.35">
      <c r="A46" s="67"/>
      <c r="B46" s="294"/>
      <c r="C46" s="294"/>
      <c r="D46" s="295"/>
      <c r="E46" s="389" t="s">
        <v>108</v>
      </c>
      <c r="F46" s="390"/>
      <c r="G46" s="390"/>
      <c r="H46" s="390"/>
      <c r="I46" s="407"/>
      <c r="J46" s="57" t="str">
        <f ca="1">IF(AND('Mapa final'!$AA$10="Muy Baja",'Mapa final'!$AC$10="Leve"),CONCATENATE("R1C",'Mapa final'!$Q$10),"")</f>
        <v/>
      </c>
      <c r="K46" s="58" t="str">
        <f>IF(AND('Mapa final'!$AA$11="Muy Baja",'Mapa final'!$AC$11="Leve"),CONCATENATE("R1C",'Mapa final'!$Q$11),"")</f>
        <v/>
      </c>
      <c r="L46" s="58" t="e">
        <f>IF(AND('Mapa final'!#REF!="Muy Baja",'Mapa final'!#REF!="Leve"),CONCATENATE("R1C",'Mapa final'!#REF!),"")</f>
        <v>#REF!</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IF(AND('Mapa final'!$AA$11="Muy Baja",'Mapa final'!$AC$11="Menor"),CONCATENATE("R1C",'Mapa final'!$Q$11),"")</f>
        <v/>
      </c>
      <c r="R46" s="58" t="e">
        <f>IF(AND('Mapa final'!#REF!="Muy Baja",'Mapa final'!#REF!="Menor"),CONCATENATE("R1C",'Mapa final'!#REF!),"")</f>
        <v>#REF!</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IF(AND('Mapa final'!$AA$11="Muy Baja",'Mapa final'!$AC$11="Moderado"),CONCATENATE("R1C",'Mapa final'!$Q$11),"")</f>
        <v/>
      </c>
      <c r="X46" s="49" t="e">
        <f>IF(AND('Mapa final'!#REF!="Muy Baja",'Mapa final'!#REF!="Moderado"),CONCATENATE("R1C",'Mapa final'!#REF!),"")</f>
        <v>#REF!</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IF(AND('Mapa final'!$AA$11="Muy Baja",'Mapa final'!$AC$11="Mayor"),CONCATENATE("R1C",'Mapa final'!$Q$11),"")</f>
        <v/>
      </c>
      <c r="AD46" s="31" t="e">
        <f>IF(AND('Mapa final'!#REF!="Muy Baja",'Mapa final'!#REF!="Mayor"),CONCATENATE("R1C",'Mapa final'!#REF!),"")</f>
        <v>#REF!</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IF(AND('Mapa final'!$AA$11="Muy Baja",'Mapa final'!$AC$11="Catastrófico"),CONCATENATE("R1C",'Mapa final'!$Q$11),"")</f>
        <v/>
      </c>
      <c r="AJ46" s="34" t="e">
        <f>IF(AND('Mapa final'!#REF!="Muy Baja",'Mapa final'!#REF!="Catastrófico"),CONCATENATE("R1C",'Mapa final'!#REF!),"")</f>
        <v>#REF!</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294"/>
      <c r="C47" s="294"/>
      <c r="D47" s="295"/>
      <c r="E47" s="391"/>
      <c r="F47" s="392"/>
      <c r="G47" s="392"/>
      <c r="H47" s="392"/>
      <c r="I47" s="408"/>
      <c r="J47" s="60" t="str">
        <f>IF(AND('Mapa final'!$AA$12="Muy Baja",'Mapa final'!$AC$12="Leve"),CONCATENATE("R2C",'Mapa final'!$Q$12),"")</f>
        <v/>
      </c>
      <c r="K47" s="61" t="str">
        <f>IF(AND('Mapa final'!$AA$13="Muy Baja",'Mapa final'!$AC$13="Leve"),CONCATENATE("R2C",'Mapa final'!$Q$13),"")</f>
        <v/>
      </c>
      <c r="L47" s="61" t="str">
        <f>IF(AND('Mapa final'!$AA$14="Muy Baja",'Mapa final'!$AC$14="Leve"),CONCATENATE("R2C",'Mapa final'!$Q$14),"")</f>
        <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final'!$AA$12="Muy Baja",'Mapa final'!$AC$12="Menor"),CONCATENATE("R2C",'Mapa final'!$Q$12),"")</f>
        <v/>
      </c>
      <c r="Q47" s="61" t="str">
        <f>IF(AND('Mapa final'!$AA$13="Muy Baja",'Mapa final'!$AC$13="Menor"),CONCATENATE("R2C",'Mapa final'!$Q$13),"")</f>
        <v/>
      </c>
      <c r="R47" s="61" t="str">
        <f>IF(AND('Mapa final'!$AA$14="Muy Baja",'Mapa final'!$AC$14="Menor"),CONCATENATE("R2C",'Mapa final'!$Q$14),"")</f>
        <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final'!$AA$12="Muy Baja",'Mapa final'!$AC$12="Moderado"),CONCATENATE("R2C",'Mapa final'!$Q$12),"")</f>
        <v/>
      </c>
      <c r="W47" s="52" t="str">
        <f>IF(AND('Mapa final'!$AA$13="Muy Baja",'Mapa final'!$AC$13="Moderado"),CONCATENATE("R2C",'Mapa final'!$Q$13),"")</f>
        <v/>
      </c>
      <c r="X47" s="52" t="str">
        <f>IF(AND('Mapa final'!$AA$14="Muy Baja",'Mapa final'!$AC$14="Moderado"),CONCATENATE("R2C",'Mapa final'!$Q$14),"")</f>
        <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final'!$AA$12="Muy Baja",'Mapa final'!$AC$12="Mayor"),CONCATENATE("R2C",'Mapa final'!$Q$12),"")</f>
        <v/>
      </c>
      <c r="AC47" s="37" t="str">
        <f>IF(AND('Mapa final'!$AA$13="Muy Baja",'Mapa final'!$AC$13="Mayor"),CONCATENATE("R2C",'Mapa final'!$Q$13),"")</f>
        <v/>
      </c>
      <c r="AD47" s="37" t="str">
        <f>IF(AND('Mapa final'!$AA$14="Muy Baja",'Mapa final'!$AC$14="Mayor"),CONCATENATE("R2C",'Mapa final'!$Q$14),"")</f>
        <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final'!$AA$12="Muy Baja",'Mapa final'!$AC$12="Catastrófico"),CONCATENATE("R2C",'Mapa final'!$Q$12),"")</f>
        <v/>
      </c>
      <c r="AI47" s="40" t="str">
        <f>IF(AND('Mapa final'!$AA$13="Muy Baja",'Mapa final'!$AC$13="Catastrófico"),CONCATENATE("R2C",'Mapa final'!$Q$13),"")</f>
        <v/>
      </c>
      <c r="AJ47" s="40" t="str">
        <f>IF(AND('Mapa final'!$AA$14="Muy Baja",'Mapa final'!$AC$14="Catastrófico"),CONCATENATE("R2C",'Mapa final'!$Q$14),"")</f>
        <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294"/>
      <c r="C48" s="294"/>
      <c r="D48" s="295"/>
      <c r="E48" s="391"/>
      <c r="F48" s="392"/>
      <c r="G48" s="392"/>
      <c r="H48" s="392"/>
      <c r="I48" s="408"/>
      <c r="J48" s="60" t="str">
        <f>IF(AND('Mapa final'!$AA$15="Muy Baja",'Mapa final'!$AC$15="Leve"),CONCATENATE("R3C",'Mapa final'!$Q$15),"")</f>
        <v/>
      </c>
      <c r="K48" s="61" t="str">
        <f>IF(AND('Mapa final'!$AA$16="Muy Baja",'Mapa final'!$AC$16="Leve"),CONCATENATE("R3C",'Mapa final'!$Q$16),"")</f>
        <v/>
      </c>
      <c r="L48" s="61" t="str">
        <f>IF(AND('Mapa final'!$AA$17="Muy Baja",'Mapa final'!$AC$17="Leve"),CONCATENATE("R3C",'Mapa final'!$Q$17),"")</f>
        <v/>
      </c>
      <c r="M48" s="61" t="str">
        <f>IF(AND('Mapa final'!$AA$18="Muy Baja",'Mapa final'!$AC$18="Leve"),CONCATENATE("R3C",'Mapa final'!$Q$18),"")</f>
        <v/>
      </c>
      <c r="N48" s="61" t="str">
        <f>IF(AND('Mapa final'!$AA$19="Muy Baja",'Mapa final'!$AC$19="Leve"),CONCATENATE("R3C",'Mapa final'!$Q$19),"")</f>
        <v/>
      </c>
      <c r="O48" s="62" t="str">
        <f>IF(AND('Mapa final'!$AA$20="Muy Baja",'Mapa final'!$AC$20="Leve"),CONCATENATE("R3C",'Mapa final'!$Q$20),"")</f>
        <v/>
      </c>
      <c r="P48" s="60" t="str">
        <f>IF(AND('Mapa final'!$AA$15="Muy Baja",'Mapa final'!$AC$15="Menor"),CONCATENATE("R3C",'Mapa final'!$Q$15),"")</f>
        <v/>
      </c>
      <c r="Q48" s="61" t="str">
        <f>IF(AND('Mapa final'!$AA$16="Muy Baja",'Mapa final'!$AC$16="Menor"),CONCATENATE("R3C",'Mapa final'!$Q$16),"")</f>
        <v/>
      </c>
      <c r="R48" s="61" t="str">
        <f>IF(AND('Mapa final'!$AA$17="Muy Baja",'Mapa final'!$AC$17="Menor"),CONCATENATE("R3C",'Mapa final'!$Q$17),"")</f>
        <v/>
      </c>
      <c r="S48" s="61" t="str">
        <f>IF(AND('Mapa final'!$AA$18="Muy Baja",'Mapa final'!$AC$18="Menor"),CONCATENATE("R3C",'Mapa final'!$Q$18),"")</f>
        <v/>
      </c>
      <c r="T48" s="61" t="str">
        <f>IF(AND('Mapa final'!$AA$19="Muy Baja",'Mapa final'!$AC$19="Menor"),CONCATENATE("R3C",'Mapa final'!$Q$19),"")</f>
        <v/>
      </c>
      <c r="U48" s="62" t="str">
        <f>IF(AND('Mapa final'!$AA$20="Muy Baja",'Mapa final'!$AC$20="Menor"),CONCATENATE("R3C",'Mapa final'!$Q$20),"")</f>
        <v/>
      </c>
      <c r="V48" s="51" t="str">
        <f>IF(AND('Mapa final'!$AA$15="Muy Baja",'Mapa final'!$AC$15="Moderado"),CONCATENATE("R3C",'Mapa final'!$Q$15),"")</f>
        <v/>
      </c>
      <c r="W48" s="52" t="str">
        <f>IF(AND('Mapa final'!$AA$16="Muy Baja",'Mapa final'!$AC$16="Moderado"),CONCATENATE("R3C",'Mapa final'!$Q$16),"")</f>
        <v/>
      </c>
      <c r="X48" s="52" t="str">
        <f>IF(AND('Mapa final'!$AA$17="Muy Baja",'Mapa final'!$AC$17="Moderado"),CONCATENATE("R3C",'Mapa final'!$Q$17),"")</f>
        <v/>
      </c>
      <c r="Y48" s="52" t="str">
        <f>IF(AND('Mapa final'!$AA$18="Muy Baja",'Mapa final'!$AC$18="Moderado"),CONCATENATE("R3C",'Mapa final'!$Q$18),"")</f>
        <v/>
      </c>
      <c r="Z48" s="52" t="str">
        <f>IF(AND('Mapa final'!$AA$19="Muy Baja",'Mapa final'!$AC$19="Moderado"),CONCATENATE("R3C",'Mapa final'!$Q$19),"")</f>
        <v/>
      </c>
      <c r="AA48" s="53" t="str">
        <f>IF(AND('Mapa final'!$AA$20="Muy Baja",'Mapa final'!$AC$20="Moderado"),CONCATENATE("R3C",'Mapa final'!$Q$20),"")</f>
        <v/>
      </c>
      <c r="AB48" s="36" t="str">
        <f>IF(AND('Mapa final'!$AA$15="Muy Baja",'Mapa final'!$AC$15="Mayor"),CONCATENATE("R3C",'Mapa final'!$Q$15),"")</f>
        <v/>
      </c>
      <c r="AC48" s="37" t="str">
        <f>IF(AND('Mapa final'!$AA$16="Muy Baja",'Mapa final'!$AC$16="Mayor"),CONCATENATE("R3C",'Mapa final'!$Q$16),"")</f>
        <v/>
      </c>
      <c r="AD48" s="37" t="str">
        <f>IF(AND('Mapa final'!$AA$17="Muy Baja",'Mapa final'!$AC$17="Mayor"),CONCATENATE("R3C",'Mapa final'!$Q$17),"")</f>
        <v/>
      </c>
      <c r="AE48" s="37" t="str">
        <f>IF(AND('Mapa final'!$AA$18="Muy Baja",'Mapa final'!$AC$18="Mayor"),CONCATENATE("R3C",'Mapa final'!$Q$18),"")</f>
        <v/>
      </c>
      <c r="AF48" s="37" t="str">
        <f>IF(AND('Mapa final'!$AA$19="Muy Baja",'Mapa final'!$AC$19="Mayor"),CONCATENATE("R3C",'Mapa final'!$Q$19),"")</f>
        <v/>
      </c>
      <c r="AG48" s="38" t="str">
        <f>IF(AND('Mapa final'!$AA$20="Muy Baja",'Mapa final'!$AC$20="Mayor"),CONCATENATE("R3C",'Mapa final'!$Q$20),"")</f>
        <v/>
      </c>
      <c r="AH48" s="39" t="str">
        <f>IF(AND('Mapa final'!$AA$15="Muy Baja",'Mapa final'!$AC$15="Catastrófico"),CONCATENATE("R3C",'Mapa final'!$Q$15),"")</f>
        <v/>
      </c>
      <c r="AI48" s="40" t="str">
        <f>IF(AND('Mapa final'!$AA$16="Muy Baja",'Mapa final'!$AC$16="Catastrófico"),CONCATENATE("R3C",'Mapa final'!$Q$16),"")</f>
        <v/>
      </c>
      <c r="AJ48" s="40" t="str">
        <f>IF(AND('Mapa final'!$AA$17="Muy Baja",'Mapa final'!$AC$17="Catastrófico"),CONCATENATE("R3C",'Mapa final'!$Q$17),"")</f>
        <v/>
      </c>
      <c r="AK48" s="40" t="str">
        <f>IF(AND('Mapa final'!$AA$18="Muy Baja",'Mapa final'!$AC$18="Catastrófico"),CONCATENATE("R3C",'Mapa final'!$Q$18),"")</f>
        <v/>
      </c>
      <c r="AL48" s="40" t="str">
        <f>IF(AND('Mapa final'!$AA$19="Muy Baja",'Mapa final'!$AC$19="Catastrófico"),CONCATENATE("R3C",'Mapa final'!$Q$19),"")</f>
        <v/>
      </c>
      <c r="AM48" s="41" t="str">
        <f>IF(AND('Mapa final'!$AA$20="Muy Baja",'Mapa final'!$AC$20="Catastrófico"),CONCATENATE("R3C",'Mapa final'!$Q$20),"")</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294"/>
      <c r="C49" s="294"/>
      <c r="D49" s="295"/>
      <c r="E49" s="393"/>
      <c r="F49" s="392"/>
      <c r="G49" s="392"/>
      <c r="H49" s="392"/>
      <c r="I49" s="408"/>
      <c r="J49" s="60" t="str">
        <f>IF(AND('Mapa final'!$AA$21="Muy Baja",'Mapa final'!$AC$21="Leve"),CONCATENATE("R4C",'Mapa final'!$Q$21),"")</f>
        <v/>
      </c>
      <c r="K49" s="61" t="str">
        <f>IF(AND('Mapa final'!$AA$22="Muy Baja",'Mapa final'!$AC$22="Leve"),CONCATENATE("R4C",'Mapa final'!$Q$22),"")</f>
        <v/>
      </c>
      <c r="L49" s="61" t="str">
        <f>IF(AND('Mapa final'!$AA$23="Muy Baja",'Mapa final'!$AC$23="Leve"),CONCATENATE("R4C",'Mapa final'!$Q$23),"")</f>
        <v/>
      </c>
      <c r="M49" s="61" t="str">
        <f>IF(AND('Mapa final'!$AA$24="Muy Baja",'Mapa final'!$AC$24="Leve"),CONCATENATE("R4C",'Mapa final'!$Q$24),"")</f>
        <v/>
      </c>
      <c r="N49" s="61" t="str">
        <f>IF(AND('Mapa final'!$AA$25="Muy Baja",'Mapa final'!$AC$25="Leve"),CONCATENATE("R4C",'Mapa final'!$Q$25),"")</f>
        <v/>
      </c>
      <c r="O49" s="62" t="str">
        <f>IF(AND('Mapa final'!$AA$26="Muy Baja",'Mapa final'!$AC$26="Leve"),CONCATENATE("R4C",'Mapa final'!$Q$26),"")</f>
        <v/>
      </c>
      <c r="P49" s="60" t="str">
        <f>IF(AND('Mapa final'!$AA$21="Muy Baja",'Mapa final'!$AC$21="Menor"),CONCATENATE("R4C",'Mapa final'!$Q$21),"")</f>
        <v/>
      </c>
      <c r="Q49" s="61" t="str">
        <f>IF(AND('Mapa final'!$AA$22="Muy Baja",'Mapa final'!$AC$22="Menor"),CONCATENATE("R4C",'Mapa final'!$Q$22),"")</f>
        <v/>
      </c>
      <c r="R49" s="61" t="str">
        <f>IF(AND('Mapa final'!$AA$23="Muy Baja",'Mapa final'!$AC$23="Menor"),CONCATENATE("R4C",'Mapa final'!$Q$23),"")</f>
        <v/>
      </c>
      <c r="S49" s="61" t="str">
        <f>IF(AND('Mapa final'!$AA$24="Muy Baja",'Mapa final'!$AC$24="Menor"),CONCATENATE("R4C",'Mapa final'!$Q$24),"")</f>
        <v/>
      </c>
      <c r="T49" s="61" t="str">
        <f>IF(AND('Mapa final'!$AA$25="Muy Baja",'Mapa final'!$AC$25="Menor"),CONCATENATE("R4C",'Mapa final'!$Q$25),"")</f>
        <v/>
      </c>
      <c r="U49" s="62" t="str">
        <f>IF(AND('Mapa final'!$AA$26="Muy Baja",'Mapa final'!$AC$26="Menor"),CONCATENATE("R4C",'Mapa final'!$Q$26),"")</f>
        <v/>
      </c>
      <c r="V49" s="51" t="str">
        <f>IF(AND('Mapa final'!$AA$21="Muy Baja",'Mapa final'!$AC$21="Moderado"),CONCATENATE("R4C",'Mapa final'!$Q$21),"")</f>
        <v/>
      </c>
      <c r="W49" s="52" t="str">
        <f>IF(AND('Mapa final'!$AA$22="Muy Baja",'Mapa final'!$AC$22="Moderado"),CONCATENATE("R4C",'Mapa final'!$Q$22),"")</f>
        <v/>
      </c>
      <c r="X49" s="52" t="str">
        <f>IF(AND('Mapa final'!$AA$23="Muy Baja",'Mapa final'!$AC$23="Moderado"),CONCATENATE("R4C",'Mapa final'!$Q$23),"")</f>
        <v/>
      </c>
      <c r="Y49" s="52" t="str">
        <f>IF(AND('Mapa final'!$AA$24="Muy Baja",'Mapa final'!$AC$24="Moderado"),CONCATENATE("R4C",'Mapa final'!$Q$24),"")</f>
        <v/>
      </c>
      <c r="Z49" s="52" t="str">
        <f>IF(AND('Mapa final'!$AA$25="Muy Baja",'Mapa final'!$AC$25="Moderado"),CONCATENATE("R4C",'Mapa final'!$Q$25),"")</f>
        <v/>
      </c>
      <c r="AA49" s="53" t="str">
        <f>IF(AND('Mapa final'!$AA$26="Muy Baja",'Mapa final'!$AC$26="Moderado"),CONCATENATE("R4C",'Mapa final'!$Q$26),"")</f>
        <v/>
      </c>
      <c r="AB49" s="36" t="str">
        <f>IF(AND('Mapa final'!$AA$21="Muy Baja",'Mapa final'!$AC$21="Mayor"),CONCATENATE("R4C",'Mapa final'!$Q$21),"")</f>
        <v/>
      </c>
      <c r="AC49" s="37" t="str">
        <f>IF(AND('Mapa final'!$AA$22="Muy Baja",'Mapa final'!$AC$22="Mayor"),CONCATENATE("R4C",'Mapa final'!$Q$22),"")</f>
        <v/>
      </c>
      <c r="AD49" s="37" t="str">
        <f>IF(AND('Mapa final'!$AA$23="Muy Baja",'Mapa final'!$AC$23="Mayor"),CONCATENATE("R4C",'Mapa final'!$Q$23),"")</f>
        <v/>
      </c>
      <c r="AE49" s="37" t="str">
        <f>IF(AND('Mapa final'!$AA$24="Muy Baja",'Mapa final'!$AC$24="Mayor"),CONCATENATE("R4C",'Mapa final'!$Q$24),"")</f>
        <v/>
      </c>
      <c r="AF49" s="37" t="str">
        <f>IF(AND('Mapa final'!$AA$25="Muy Baja",'Mapa final'!$AC$25="Mayor"),CONCATENATE("R4C",'Mapa final'!$Q$25),"")</f>
        <v/>
      </c>
      <c r="AG49" s="38" t="str">
        <f>IF(AND('Mapa final'!$AA$26="Muy Baja",'Mapa final'!$AC$26="Mayor"),CONCATENATE("R4C",'Mapa final'!$Q$26),"")</f>
        <v/>
      </c>
      <c r="AH49" s="39" t="str">
        <f>IF(AND('Mapa final'!$AA$21="Muy Baja",'Mapa final'!$AC$21="Catastrófico"),CONCATENATE("R4C",'Mapa final'!$Q$21),"")</f>
        <v/>
      </c>
      <c r="AI49" s="40" t="str">
        <f>IF(AND('Mapa final'!$AA$22="Muy Baja",'Mapa final'!$AC$22="Catastrófico"),CONCATENATE("R4C",'Mapa final'!$Q$22),"")</f>
        <v/>
      </c>
      <c r="AJ49" s="40" t="str">
        <f>IF(AND('Mapa final'!$AA$23="Muy Baja",'Mapa final'!$AC$23="Catastrófico"),CONCATENATE("R4C",'Mapa final'!$Q$23),"")</f>
        <v/>
      </c>
      <c r="AK49" s="40" t="str">
        <f>IF(AND('Mapa final'!$AA$24="Muy Baja",'Mapa final'!$AC$24="Catastrófico"),CONCATENATE("R4C",'Mapa final'!$Q$24),"")</f>
        <v/>
      </c>
      <c r="AL49" s="40" t="str">
        <f>IF(AND('Mapa final'!$AA$25="Muy Baja",'Mapa final'!$AC$25="Catastrófico"),CONCATENATE("R4C",'Mapa final'!$Q$25),"")</f>
        <v/>
      </c>
      <c r="AM49" s="41" t="str">
        <f>IF(AND('Mapa final'!$AA$26="Muy Baja",'Mapa final'!$AC$26="Catastrófico"),CONCATENATE("R4C",'Mapa final'!$Q$26),"")</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294"/>
      <c r="C50" s="294"/>
      <c r="D50" s="295"/>
      <c r="E50" s="393"/>
      <c r="F50" s="392"/>
      <c r="G50" s="392"/>
      <c r="H50" s="392"/>
      <c r="I50" s="408"/>
      <c r="J50" s="60" t="str">
        <f>IF(AND('Mapa final'!$AA$27="Muy Baja",'Mapa final'!$AC$27="Leve"),CONCATENATE("R5C",'Mapa final'!$Q$27),"")</f>
        <v/>
      </c>
      <c r="K50" s="61" t="str">
        <f>IF(AND('Mapa final'!$AA$28="Muy Baja",'Mapa final'!$AC$28="Leve"),CONCATENATE("R5C",'Mapa final'!$Q$28),"")</f>
        <v/>
      </c>
      <c r="L50" s="61" t="str">
        <f>IF(AND('Mapa final'!$AA$29="Muy Baja",'Mapa final'!$AC$29="Leve"),CONCATENATE("R5C",'Mapa final'!$Q$29),"")</f>
        <v/>
      </c>
      <c r="M50" s="61" t="str">
        <f>IF(AND('Mapa final'!$AA$30="Muy Baja",'Mapa final'!$AC$30="Leve"),CONCATENATE("R5C",'Mapa final'!$Q$30),"")</f>
        <v/>
      </c>
      <c r="N50" s="61" t="str">
        <f>IF(AND('Mapa final'!$AA$31="Muy Baja",'Mapa final'!$AC$31="Leve"),CONCATENATE("R5C",'Mapa final'!$Q$31),"")</f>
        <v/>
      </c>
      <c r="O50" s="62" t="str">
        <f>IF(AND('Mapa final'!$AA$32="Muy Baja",'Mapa final'!$AC$32="Leve"),CONCATENATE("R5C",'Mapa final'!$Q$32),"")</f>
        <v/>
      </c>
      <c r="P50" s="60" t="str">
        <f>IF(AND('Mapa final'!$AA$27="Muy Baja",'Mapa final'!$AC$27="Menor"),CONCATENATE("R5C",'Mapa final'!$Q$27),"")</f>
        <v/>
      </c>
      <c r="Q50" s="61" t="str">
        <f>IF(AND('Mapa final'!$AA$28="Muy Baja",'Mapa final'!$AC$28="Menor"),CONCATENATE("R5C",'Mapa final'!$Q$28),"")</f>
        <v/>
      </c>
      <c r="R50" s="61" t="str">
        <f>IF(AND('Mapa final'!$AA$29="Muy Baja",'Mapa final'!$AC$29="Menor"),CONCATENATE("R5C",'Mapa final'!$Q$29),"")</f>
        <v/>
      </c>
      <c r="S50" s="61" t="str">
        <f>IF(AND('Mapa final'!$AA$30="Muy Baja",'Mapa final'!$AC$30="Menor"),CONCATENATE("R5C",'Mapa final'!$Q$30),"")</f>
        <v/>
      </c>
      <c r="T50" s="61" t="str">
        <f>IF(AND('Mapa final'!$AA$31="Muy Baja",'Mapa final'!$AC$31="Menor"),CONCATENATE("R5C",'Mapa final'!$Q$31),"")</f>
        <v/>
      </c>
      <c r="U50" s="62" t="str">
        <f>IF(AND('Mapa final'!$AA$32="Muy Baja",'Mapa final'!$AC$32="Menor"),CONCATENATE("R5C",'Mapa final'!$Q$32),"")</f>
        <v/>
      </c>
      <c r="V50" s="51" t="str">
        <f>IF(AND('Mapa final'!$AA$27="Muy Baja",'Mapa final'!$AC$27="Moderado"),CONCATENATE("R5C",'Mapa final'!$Q$27),"")</f>
        <v/>
      </c>
      <c r="W50" s="52" t="str">
        <f>IF(AND('Mapa final'!$AA$28="Muy Baja",'Mapa final'!$AC$28="Moderado"),CONCATENATE("R5C",'Mapa final'!$Q$28),"")</f>
        <v/>
      </c>
      <c r="X50" s="52" t="str">
        <f>IF(AND('Mapa final'!$AA$29="Muy Baja",'Mapa final'!$AC$29="Moderado"),CONCATENATE("R5C",'Mapa final'!$Q$29),"")</f>
        <v/>
      </c>
      <c r="Y50" s="52" t="str">
        <f>IF(AND('Mapa final'!$AA$30="Muy Baja",'Mapa final'!$AC$30="Moderado"),CONCATENATE("R5C",'Mapa final'!$Q$30),"")</f>
        <v/>
      </c>
      <c r="Z50" s="52" t="str">
        <f>IF(AND('Mapa final'!$AA$31="Muy Baja",'Mapa final'!$AC$31="Moderado"),CONCATENATE("R5C",'Mapa final'!$Q$31),"")</f>
        <v/>
      </c>
      <c r="AA50" s="53" t="str">
        <f>IF(AND('Mapa final'!$AA$32="Muy Baja",'Mapa final'!$AC$32="Moderado"),CONCATENATE("R5C",'Mapa final'!$Q$32),"")</f>
        <v/>
      </c>
      <c r="AB50" s="36" t="str">
        <f>IF(AND('Mapa final'!$AA$27="Muy Baja",'Mapa final'!$AC$27="Mayor"),CONCATENATE("R5C",'Mapa final'!$Q$27),"")</f>
        <v/>
      </c>
      <c r="AC50" s="37" t="str">
        <f>IF(AND('Mapa final'!$AA$28="Muy Baja",'Mapa final'!$AC$28="Mayor"),CONCATENATE("R5C",'Mapa final'!$Q$28),"")</f>
        <v/>
      </c>
      <c r="AD50" s="37" t="str">
        <f>IF(AND('Mapa final'!$AA$29="Muy Baja",'Mapa final'!$AC$29="Mayor"),CONCATENATE("R5C",'Mapa final'!$Q$29),"")</f>
        <v/>
      </c>
      <c r="AE50" s="37" t="str">
        <f>IF(AND('Mapa final'!$AA$30="Muy Baja",'Mapa final'!$AC$30="Mayor"),CONCATENATE("R5C",'Mapa final'!$Q$30),"")</f>
        <v/>
      </c>
      <c r="AF50" s="37" t="str">
        <f>IF(AND('Mapa final'!$AA$31="Muy Baja",'Mapa final'!$AC$31="Mayor"),CONCATENATE("R5C",'Mapa final'!$Q$31),"")</f>
        <v/>
      </c>
      <c r="AG50" s="38" t="str">
        <f>IF(AND('Mapa final'!$AA$32="Muy Baja",'Mapa final'!$AC$32="Mayor"),CONCATENATE("R5C",'Mapa final'!$Q$32),"")</f>
        <v/>
      </c>
      <c r="AH50" s="39" t="str">
        <f>IF(AND('Mapa final'!$AA$27="Muy Baja",'Mapa final'!$AC$27="Catastrófico"),CONCATENATE("R5C",'Mapa final'!$Q$27),"")</f>
        <v/>
      </c>
      <c r="AI50" s="40" t="str">
        <f>IF(AND('Mapa final'!$AA$28="Muy Baja",'Mapa final'!$AC$28="Catastrófico"),CONCATENATE("R5C",'Mapa final'!$Q$28),"")</f>
        <v/>
      </c>
      <c r="AJ50" s="40" t="str">
        <f>IF(AND('Mapa final'!$AA$29="Muy Baja",'Mapa final'!$AC$29="Catastrófico"),CONCATENATE("R5C",'Mapa final'!$Q$29),"")</f>
        <v/>
      </c>
      <c r="AK50" s="40" t="str">
        <f>IF(AND('Mapa final'!$AA$30="Muy Baja",'Mapa final'!$AC$30="Catastrófico"),CONCATENATE("R5C",'Mapa final'!$Q$30),"")</f>
        <v/>
      </c>
      <c r="AL50" s="40" t="str">
        <f>IF(AND('Mapa final'!$AA$31="Muy Baja",'Mapa final'!$AC$31="Catastrófico"),CONCATENATE("R5C",'Mapa final'!$Q$31),"")</f>
        <v/>
      </c>
      <c r="AM50" s="41" t="str">
        <f>IF(AND('Mapa final'!$AA$32="Muy Baja",'Mapa final'!$AC$32="Catastrófico"),CONCATENATE("R5C",'Mapa final'!$Q$32),"")</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294"/>
      <c r="C51" s="294"/>
      <c r="D51" s="295"/>
      <c r="E51" s="393"/>
      <c r="F51" s="392"/>
      <c r="G51" s="392"/>
      <c r="H51" s="392"/>
      <c r="I51" s="408"/>
      <c r="J51" s="60" t="str">
        <f>IF(AND('Mapa final'!$AA$33="Muy Baja",'Mapa final'!$AC$33="Leve"),CONCATENATE("R6C",'Mapa final'!$Q$33),"")</f>
        <v/>
      </c>
      <c r="K51" s="61" t="str">
        <f>IF(AND('Mapa final'!$AA$34="Muy Baja",'Mapa final'!$AC$34="Leve"),CONCATENATE("R6C",'Mapa final'!$Q$34),"")</f>
        <v/>
      </c>
      <c r="L51" s="61" t="str">
        <f>IF(AND('Mapa final'!$AA$35="Muy Baja",'Mapa final'!$AC$35="Leve"),CONCATENATE("R6C",'Mapa final'!$Q$35),"")</f>
        <v/>
      </c>
      <c r="M51" s="61" t="str">
        <f>IF(AND('Mapa final'!$AA$36="Muy Baja",'Mapa final'!$AC$36="Leve"),CONCATENATE("R6C",'Mapa final'!$Q$36),"")</f>
        <v/>
      </c>
      <c r="N51" s="61" t="str">
        <f>IF(AND('Mapa final'!$AA$37="Muy Baja",'Mapa final'!$AC$37="Leve"),CONCATENATE("R6C",'Mapa final'!$Q$37),"")</f>
        <v/>
      </c>
      <c r="O51" s="62" t="str">
        <f>IF(AND('Mapa final'!$AA$38="Muy Baja",'Mapa final'!$AC$38="Leve"),CONCATENATE("R6C",'Mapa final'!$Q$38),"")</f>
        <v/>
      </c>
      <c r="P51" s="60" t="str">
        <f>IF(AND('Mapa final'!$AA$33="Muy Baja",'Mapa final'!$AC$33="Menor"),CONCATENATE("R6C",'Mapa final'!$Q$33),"")</f>
        <v/>
      </c>
      <c r="Q51" s="61" t="str">
        <f>IF(AND('Mapa final'!$AA$34="Muy Baja",'Mapa final'!$AC$34="Menor"),CONCATENATE("R6C",'Mapa final'!$Q$34),"")</f>
        <v/>
      </c>
      <c r="R51" s="61" t="str">
        <f>IF(AND('Mapa final'!$AA$35="Muy Baja",'Mapa final'!$AC$35="Menor"),CONCATENATE("R6C",'Mapa final'!$Q$35),"")</f>
        <v/>
      </c>
      <c r="S51" s="61" t="str">
        <f>IF(AND('Mapa final'!$AA$36="Muy Baja",'Mapa final'!$AC$36="Menor"),CONCATENATE("R6C",'Mapa final'!$Q$36),"")</f>
        <v/>
      </c>
      <c r="T51" s="61" t="str">
        <f>IF(AND('Mapa final'!$AA$37="Muy Baja",'Mapa final'!$AC$37="Menor"),CONCATENATE("R6C",'Mapa final'!$Q$37),"")</f>
        <v/>
      </c>
      <c r="U51" s="62" t="str">
        <f>IF(AND('Mapa final'!$AA$38="Muy Baja",'Mapa final'!$AC$38="Menor"),CONCATENATE("R6C",'Mapa final'!$Q$38),"")</f>
        <v/>
      </c>
      <c r="V51" s="51" t="str">
        <f>IF(AND('Mapa final'!$AA$33="Muy Baja",'Mapa final'!$AC$33="Moderado"),CONCATENATE("R6C",'Mapa final'!$Q$33),"")</f>
        <v/>
      </c>
      <c r="W51" s="52" t="str">
        <f>IF(AND('Mapa final'!$AA$34="Muy Baja",'Mapa final'!$AC$34="Moderado"),CONCATENATE("R6C",'Mapa final'!$Q$34),"")</f>
        <v/>
      </c>
      <c r="X51" s="52" t="str">
        <f>IF(AND('Mapa final'!$AA$35="Muy Baja",'Mapa final'!$AC$35="Moderado"),CONCATENATE("R6C",'Mapa final'!$Q$35),"")</f>
        <v/>
      </c>
      <c r="Y51" s="52" t="str">
        <f>IF(AND('Mapa final'!$AA$36="Muy Baja",'Mapa final'!$AC$36="Moderado"),CONCATENATE("R6C",'Mapa final'!$Q$36),"")</f>
        <v/>
      </c>
      <c r="Z51" s="52" t="str">
        <f>IF(AND('Mapa final'!$AA$37="Muy Baja",'Mapa final'!$AC$37="Moderado"),CONCATENATE("R6C",'Mapa final'!$Q$37),"")</f>
        <v/>
      </c>
      <c r="AA51" s="53" t="str">
        <f>IF(AND('Mapa final'!$AA$38="Muy Baja",'Mapa final'!$AC$38="Moderado"),CONCATENATE("R6C",'Mapa final'!$Q$38),"")</f>
        <v/>
      </c>
      <c r="AB51" s="36" t="str">
        <f>IF(AND('Mapa final'!$AA$33="Muy Baja",'Mapa final'!$AC$33="Mayor"),CONCATENATE("R6C",'Mapa final'!$Q$33),"")</f>
        <v/>
      </c>
      <c r="AC51" s="37" t="str">
        <f>IF(AND('Mapa final'!$AA$34="Muy Baja",'Mapa final'!$AC$34="Mayor"),CONCATENATE("R6C",'Mapa final'!$Q$34),"")</f>
        <v/>
      </c>
      <c r="AD51" s="37" t="str">
        <f>IF(AND('Mapa final'!$AA$35="Muy Baja",'Mapa final'!$AC$35="Mayor"),CONCATENATE("R6C",'Mapa final'!$Q$35),"")</f>
        <v/>
      </c>
      <c r="AE51" s="37" t="str">
        <f>IF(AND('Mapa final'!$AA$36="Muy Baja",'Mapa final'!$AC$36="Mayor"),CONCATENATE("R6C",'Mapa final'!$Q$36),"")</f>
        <v/>
      </c>
      <c r="AF51" s="37" t="str">
        <f>IF(AND('Mapa final'!$AA$37="Muy Baja",'Mapa final'!$AC$37="Mayor"),CONCATENATE("R6C",'Mapa final'!$Q$37),"")</f>
        <v/>
      </c>
      <c r="AG51" s="38" t="str">
        <f>IF(AND('Mapa final'!$AA$38="Muy Baja",'Mapa final'!$AC$38="Mayor"),CONCATENATE("R6C",'Mapa final'!$Q$38),"")</f>
        <v/>
      </c>
      <c r="AH51" s="39" t="str">
        <f>IF(AND('Mapa final'!$AA$33="Muy Baja",'Mapa final'!$AC$33="Catastrófico"),CONCATENATE("R6C",'Mapa final'!$Q$33),"")</f>
        <v/>
      </c>
      <c r="AI51" s="40" t="str">
        <f>IF(AND('Mapa final'!$AA$34="Muy Baja",'Mapa final'!$AC$34="Catastrófico"),CONCATENATE("R6C",'Mapa final'!$Q$34),"")</f>
        <v/>
      </c>
      <c r="AJ51" s="40" t="str">
        <f>IF(AND('Mapa final'!$AA$35="Muy Baja",'Mapa final'!$AC$35="Catastrófico"),CONCATENATE("R6C",'Mapa final'!$Q$35),"")</f>
        <v/>
      </c>
      <c r="AK51" s="40" t="str">
        <f>IF(AND('Mapa final'!$AA$36="Muy Baja",'Mapa final'!$AC$36="Catastrófico"),CONCATENATE("R6C",'Mapa final'!$Q$36),"")</f>
        <v/>
      </c>
      <c r="AL51" s="40" t="str">
        <f>IF(AND('Mapa final'!$AA$37="Muy Baja",'Mapa final'!$AC$37="Catastrófico"),CONCATENATE("R6C",'Mapa final'!$Q$37),"")</f>
        <v/>
      </c>
      <c r="AM51" s="41" t="str">
        <f>IF(AND('Mapa final'!$AA$38="Muy Baja",'Mapa final'!$AC$38="Catastrófico"),CONCATENATE("R6C",'Mapa final'!$Q$38),"")</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294"/>
      <c r="C52" s="294"/>
      <c r="D52" s="295"/>
      <c r="E52" s="393"/>
      <c r="F52" s="392"/>
      <c r="G52" s="392"/>
      <c r="H52" s="392"/>
      <c r="I52" s="408"/>
      <c r="J52" s="60" t="str">
        <f>IF(AND('Mapa final'!$AA$39="Muy Baja",'Mapa final'!$AC$39="Leve"),CONCATENATE("R7C",'Mapa final'!$Q$39),"")</f>
        <v/>
      </c>
      <c r="K52" s="61" t="str">
        <f>IF(AND('Mapa final'!$AA$40="Muy Baja",'Mapa final'!$AC$40="Leve"),CONCATENATE("R7C",'Mapa final'!$Q$40),"")</f>
        <v/>
      </c>
      <c r="L52" s="61" t="str">
        <f>IF(AND('Mapa final'!$AA$41="Muy Baja",'Mapa final'!$AC$41="Leve"),CONCATENATE("R7C",'Mapa final'!$Q$41),"")</f>
        <v/>
      </c>
      <c r="M52" s="61" t="str">
        <f>IF(AND('Mapa final'!$AA$42="Muy Baja",'Mapa final'!$AC$42="Leve"),CONCATENATE("R7C",'Mapa final'!$Q$42),"")</f>
        <v/>
      </c>
      <c r="N52" s="61" t="str">
        <f>IF(AND('Mapa final'!$AA$43="Muy Baja",'Mapa final'!$AC$43="Leve"),CONCATENATE("R7C",'Mapa final'!$Q$43),"")</f>
        <v/>
      </c>
      <c r="O52" s="62" t="str">
        <f>IF(AND('Mapa final'!$AA$44="Muy Baja",'Mapa final'!$AC$44="Leve"),CONCATENATE("R7C",'Mapa final'!$Q$44),"")</f>
        <v/>
      </c>
      <c r="P52" s="60" t="str">
        <f>IF(AND('Mapa final'!$AA$39="Muy Baja",'Mapa final'!$AC$39="Menor"),CONCATENATE("R7C",'Mapa final'!$Q$39),"")</f>
        <v/>
      </c>
      <c r="Q52" s="61" t="str">
        <f>IF(AND('Mapa final'!$AA$40="Muy Baja",'Mapa final'!$AC$40="Menor"),CONCATENATE("R7C",'Mapa final'!$Q$40),"")</f>
        <v/>
      </c>
      <c r="R52" s="61" t="str">
        <f>IF(AND('Mapa final'!$AA$41="Muy Baja",'Mapa final'!$AC$41="Menor"),CONCATENATE("R7C",'Mapa final'!$Q$41),"")</f>
        <v/>
      </c>
      <c r="S52" s="61" t="str">
        <f>IF(AND('Mapa final'!$AA$42="Muy Baja",'Mapa final'!$AC$42="Menor"),CONCATENATE("R7C",'Mapa final'!$Q$42),"")</f>
        <v/>
      </c>
      <c r="T52" s="61" t="str">
        <f>IF(AND('Mapa final'!$AA$43="Muy Baja",'Mapa final'!$AC$43="Menor"),CONCATENATE("R7C",'Mapa final'!$Q$43),"")</f>
        <v/>
      </c>
      <c r="U52" s="62" t="str">
        <f>IF(AND('Mapa final'!$AA$44="Muy Baja",'Mapa final'!$AC$44="Menor"),CONCATENATE("R7C",'Mapa final'!$Q$44),"")</f>
        <v/>
      </c>
      <c r="V52" s="51" t="str">
        <f>IF(AND('Mapa final'!$AA$39="Muy Baja",'Mapa final'!$AC$39="Moderado"),CONCATENATE("R7C",'Mapa final'!$Q$39),"")</f>
        <v/>
      </c>
      <c r="W52" s="52" t="str">
        <f>IF(AND('Mapa final'!$AA$40="Muy Baja",'Mapa final'!$AC$40="Moderado"),CONCATENATE("R7C",'Mapa final'!$Q$40),"")</f>
        <v/>
      </c>
      <c r="X52" s="52" t="str">
        <f>IF(AND('Mapa final'!$AA$41="Muy Baja",'Mapa final'!$AC$41="Moderado"),CONCATENATE("R7C",'Mapa final'!$Q$41),"")</f>
        <v/>
      </c>
      <c r="Y52" s="52" t="str">
        <f>IF(AND('Mapa final'!$AA$42="Muy Baja",'Mapa final'!$AC$42="Moderado"),CONCATENATE("R7C",'Mapa final'!$Q$42),"")</f>
        <v/>
      </c>
      <c r="Z52" s="52" t="str">
        <f>IF(AND('Mapa final'!$AA$43="Muy Baja",'Mapa final'!$AC$43="Moderado"),CONCATENATE("R7C",'Mapa final'!$Q$43),"")</f>
        <v/>
      </c>
      <c r="AA52" s="53" t="str">
        <f>IF(AND('Mapa final'!$AA$44="Muy Baja",'Mapa final'!$AC$44="Moderado"),CONCATENATE("R7C",'Mapa final'!$Q$44),"")</f>
        <v/>
      </c>
      <c r="AB52" s="36" t="str">
        <f>IF(AND('Mapa final'!$AA$39="Muy Baja",'Mapa final'!$AC$39="Mayor"),CONCATENATE("R7C",'Mapa final'!$Q$39),"")</f>
        <v/>
      </c>
      <c r="AC52" s="37" t="str">
        <f>IF(AND('Mapa final'!$AA$40="Muy Baja",'Mapa final'!$AC$40="Mayor"),CONCATENATE("R7C",'Mapa final'!$Q$40),"")</f>
        <v/>
      </c>
      <c r="AD52" s="37" t="str">
        <f>IF(AND('Mapa final'!$AA$41="Muy Baja",'Mapa final'!$AC$41="Mayor"),CONCATENATE("R7C",'Mapa final'!$Q$41),"")</f>
        <v/>
      </c>
      <c r="AE52" s="37" t="str">
        <f>IF(AND('Mapa final'!$AA$42="Muy Baja",'Mapa final'!$AC$42="Mayor"),CONCATENATE("R7C",'Mapa final'!$Q$42),"")</f>
        <v/>
      </c>
      <c r="AF52" s="37" t="str">
        <f>IF(AND('Mapa final'!$AA$43="Muy Baja",'Mapa final'!$AC$43="Mayor"),CONCATENATE("R7C",'Mapa final'!$Q$43),"")</f>
        <v/>
      </c>
      <c r="AG52" s="38" t="str">
        <f>IF(AND('Mapa final'!$AA$44="Muy Baja",'Mapa final'!$AC$44="Mayor"),CONCATENATE("R7C",'Mapa final'!$Q$44),"")</f>
        <v/>
      </c>
      <c r="AH52" s="39" t="str">
        <f>IF(AND('Mapa final'!$AA$39="Muy Baja",'Mapa final'!$AC$39="Catastrófico"),CONCATENATE("R7C",'Mapa final'!$Q$39),"")</f>
        <v/>
      </c>
      <c r="AI52" s="40" t="str">
        <f>IF(AND('Mapa final'!$AA$40="Muy Baja",'Mapa final'!$AC$40="Catastrófico"),CONCATENATE("R7C",'Mapa final'!$Q$40),"")</f>
        <v/>
      </c>
      <c r="AJ52" s="40" t="str">
        <f>IF(AND('Mapa final'!$AA$41="Muy Baja",'Mapa final'!$AC$41="Catastrófico"),CONCATENATE("R7C",'Mapa final'!$Q$41),"")</f>
        <v/>
      </c>
      <c r="AK52" s="40" t="str">
        <f>IF(AND('Mapa final'!$AA$42="Muy Baja",'Mapa final'!$AC$42="Catastrófico"),CONCATENATE("R7C",'Mapa final'!$Q$42),"")</f>
        <v/>
      </c>
      <c r="AL52" s="40" t="str">
        <f>IF(AND('Mapa final'!$AA$43="Muy Baja",'Mapa final'!$AC$43="Catastrófico"),CONCATENATE("R7C",'Mapa final'!$Q$43),"")</f>
        <v/>
      </c>
      <c r="AM52" s="41" t="str">
        <f>IF(AND('Mapa final'!$AA$44="Muy Baja",'Mapa final'!$AC$44="Catastrófico"),CONCATENATE("R7C",'Mapa final'!$Q$44),"")</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294"/>
      <c r="C53" s="294"/>
      <c r="D53" s="295"/>
      <c r="E53" s="393"/>
      <c r="F53" s="392"/>
      <c r="G53" s="392"/>
      <c r="H53" s="392"/>
      <c r="I53" s="408"/>
      <c r="J53" s="60" t="str">
        <f>IF(AND('Mapa final'!$AA$45="Muy Baja",'Mapa final'!$AC$45="Leve"),CONCATENATE("R8C",'Mapa final'!$Q$45),"")</f>
        <v/>
      </c>
      <c r="K53" s="61" t="str">
        <f>IF(AND('Mapa final'!$AA$46="Muy Baja",'Mapa final'!$AC$46="Leve"),CONCATENATE("R8C",'Mapa final'!$Q$46),"")</f>
        <v/>
      </c>
      <c r="L53" s="61" t="str">
        <f>IF(AND('Mapa final'!$AA$47="Muy Baja",'Mapa final'!$AC$47="Leve"),CONCATENATE("R8C",'Mapa final'!$Q$47),"")</f>
        <v/>
      </c>
      <c r="M53" s="61" t="str">
        <f>IF(AND('Mapa final'!$AA$48="Muy Baja",'Mapa final'!$AC$48="Leve"),CONCATENATE("R8C",'Mapa final'!$Q$48),"")</f>
        <v/>
      </c>
      <c r="N53" s="61" t="str">
        <f>IF(AND('Mapa final'!$AA$49="Muy Baja",'Mapa final'!$AC$49="Leve"),CONCATENATE("R8C",'Mapa final'!$Q$49),"")</f>
        <v/>
      </c>
      <c r="O53" s="62" t="str">
        <f>IF(AND('Mapa final'!$AA$50="Muy Baja",'Mapa final'!$AC$50="Leve"),CONCATENATE("R8C",'Mapa final'!$Q$50),"")</f>
        <v/>
      </c>
      <c r="P53" s="60" t="str">
        <f>IF(AND('Mapa final'!$AA$45="Muy Baja",'Mapa final'!$AC$45="Menor"),CONCATENATE("R8C",'Mapa final'!$Q$45),"")</f>
        <v/>
      </c>
      <c r="Q53" s="61" t="str">
        <f>IF(AND('Mapa final'!$AA$46="Muy Baja",'Mapa final'!$AC$46="Menor"),CONCATENATE("R8C",'Mapa final'!$Q$46),"")</f>
        <v/>
      </c>
      <c r="R53" s="61" t="str">
        <f>IF(AND('Mapa final'!$AA$47="Muy Baja",'Mapa final'!$AC$47="Menor"),CONCATENATE("R8C",'Mapa final'!$Q$47),"")</f>
        <v/>
      </c>
      <c r="S53" s="61" t="str">
        <f>IF(AND('Mapa final'!$AA$48="Muy Baja",'Mapa final'!$AC$48="Menor"),CONCATENATE("R8C",'Mapa final'!$Q$48),"")</f>
        <v/>
      </c>
      <c r="T53" s="61" t="str">
        <f>IF(AND('Mapa final'!$AA$49="Muy Baja",'Mapa final'!$AC$49="Menor"),CONCATENATE("R8C",'Mapa final'!$Q$49),"")</f>
        <v/>
      </c>
      <c r="U53" s="62" t="str">
        <f>IF(AND('Mapa final'!$AA$50="Muy Baja",'Mapa final'!$AC$50="Menor"),CONCATENATE("R8C",'Mapa final'!$Q$50),"")</f>
        <v/>
      </c>
      <c r="V53" s="51" t="str">
        <f>IF(AND('Mapa final'!$AA$45="Muy Baja",'Mapa final'!$AC$45="Moderado"),CONCATENATE("R8C",'Mapa final'!$Q$45),"")</f>
        <v/>
      </c>
      <c r="W53" s="52" t="str">
        <f>IF(AND('Mapa final'!$AA$46="Muy Baja",'Mapa final'!$AC$46="Moderado"),CONCATENATE("R8C",'Mapa final'!$Q$46),"")</f>
        <v/>
      </c>
      <c r="X53" s="52" t="str">
        <f>IF(AND('Mapa final'!$AA$47="Muy Baja",'Mapa final'!$AC$47="Moderado"),CONCATENATE("R8C",'Mapa final'!$Q$47),"")</f>
        <v/>
      </c>
      <c r="Y53" s="52" t="str">
        <f>IF(AND('Mapa final'!$AA$48="Muy Baja",'Mapa final'!$AC$48="Moderado"),CONCATENATE("R8C",'Mapa final'!$Q$48),"")</f>
        <v/>
      </c>
      <c r="Z53" s="52" t="str">
        <f>IF(AND('Mapa final'!$AA$49="Muy Baja",'Mapa final'!$AC$49="Moderado"),CONCATENATE("R8C",'Mapa final'!$Q$49),"")</f>
        <v/>
      </c>
      <c r="AA53" s="53" t="str">
        <f>IF(AND('Mapa final'!$AA$50="Muy Baja",'Mapa final'!$AC$50="Moderado"),CONCATENATE("R8C",'Mapa final'!$Q$50),"")</f>
        <v/>
      </c>
      <c r="AB53" s="36" t="str">
        <f>IF(AND('Mapa final'!$AA$45="Muy Baja",'Mapa final'!$AC$45="Mayor"),CONCATENATE("R8C",'Mapa final'!$Q$45),"")</f>
        <v/>
      </c>
      <c r="AC53" s="37" t="str">
        <f>IF(AND('Mapa final'!$AA$46="Muy Baja",'Mapa final'!$AC$46="Mayor"),CONCATENATE("R8C",'Mapa final'!$Q$46),"")</f>
        <v/>
      </c>
      <c r="AD53" s="37" t="str">
        <f>IF(AND('Mapa final'!$AA$47="Muy Baja",'Mapa final'!$AC$47="Mayor"),CONCATENATE("R8C",'Mapa final'!$Q$47),"")</f>
        <v/>
      </c>
      <c r="AE53" s="37" t="str">
        <f>IF(AND('Mapa final'!$AA$48="Muy Baja",'Mapa final'!$AC$48="Mayor"),CONCATENATE("R8C",'Mapa final'!$Q$48),"")</f>
        <v/>
      </c>
      <c r="AF53" s="37" t="str">
        <f>IF(AND('Mapa final'!$AA$49="Muy Baja",'Mapa final'!$AC$49="Mayor"),CONCATENATE("R8C",'Mapa final'!$Q$49),"")</f>
        <v/>
      </c>
      <c r="AG53" s="38" t="str">
        <f>IF(AND('Mapa final'!$AA$50="Muy Baja",'Mapa final'!$AC$50="Mayor"),CONCATENATE("R8C",'Mapa final'!$Q$50),"")</f>
        <v/>
      </c>
      <c r="AH53" s="39" t="str">
        <f>IF(AND('Mapa final'!$AA$45="Muy Baja",'Mapa final'!$AC$45="Catastrófico"),CONCATENATE("R8C",'Mapa final'!$Q$45),"")</f>
        <v/>
      </c>
      <c r="AI53" s="40" t="str">
        <f>IF(AND('Mapa final'!$AA$46="Muy Baja",'Mapa final'!$AC$46="Catastrófico"),CONCATENATE("R8C",'Mapa final'!$Q$46),"")</f>
        <v/>
      </c>
      <c r="AJ53" s="40" t="str">
        <f>IF(AND('Mapa final'!$AA$47="Muy Baja",'Mapa final'!$AC$47="Catastrófico"),CONCATENATE("R8C",'Mapa final'!$Q$47),"")</f>
        <v/>
      </c>
      <c r="AK53" s="40" t="str">
        <f>IF(AND('Mapa final'!$AA$48="Muy Baja",'Mapa final'!$AC$48="Catastrófico"),CONCATENATE("R8C",'Mapa final'!$Q$48),"")</f>
        <v/>
      </c>
      <c r="AL53" s="40" t="str">
        <f>IF(AND('Mapa final'!$AA$49="Muy Baja",'Mapa final'!$AC$49="Catastrófico"),CONCATENATE("R8C",'Mapa final'!$Q$49),"")</f>
        <v/>
      </c>
      <c r="AM53" s="41" t="str">
        <f>IF(AND('Mapa final'!$AA$50="Muy Baja",'Mapa final'!$AC$50="Catastrófico"),CONCATENATE("R8C",'Mapa final'!$Q$50),"")</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294"/>
      <c r="C54" s="294"/>
      <c r="D54" s="295"/>
      <c r="E54" s="393"/>
      <c r="F54" s="392"/>
      <c r="G54" s="392"/>
      <c r="H54" s="392"/>
      <c r="I54" s="408"/>
      <c r="J54" s="60" t="str">
        <f>IF(AND('Mapa final'!$AA$51="Muy Baja",'Mapa final'!$AC$51="Leve"),CONCATENATE("R9C",'Mapa final'!$Q$51),"")</f>
        <v/>
      </c>
      <c r="K54" s="61" t="str">
        <f>IF(AND('Mapa final'!$AA$52="Muy Baja",'Mapa final'!$AC$52="Leve"),CONCATENATE("R9C",'Mapa final'!$Q$52),"")</f>
        <v/>
      </c>
      <c r="L54" s="61" t="str">
        <f>IF(AND('Mapa final'!$AA$53="Muy Baja",'Mapa final'!$AC$53="Leve"),CONCATENATE("R9C",'Mapa final'!$Q$53),"")</f>
        <v/>
      </c>
      <c r="M54" s="61" t="str">
        <f>IF(AND('Mapa final'!$AA$54="Muy Baja",'Mapa final'!$AC$54="Leve"),CONCATENATE("R9C",'Mapa final'!$Q$54),"")</f>
        <v/>
      </c>
      <c r="N54" s="61" t="str">
        <f>IF(AND('Mapa final'!$AA$55="Muy Baja",'Mapa final'!$AC$55="Leve"),CONCATENATE("R9C",'Mapa final'!$Q$55),"")</f>
        <v/>
      </c>
      <c r="O54" s="62" t="str">
        <f>IF(AND('Mapa final'!$AA$56="Muy Baja",'Mapa final'!$AC$56="Leve"),CONCATENATE("R9C",'Mapa final'!$Q$56),"")</f>
        <v/>
      </c>
      <c r="P54" s="60" t="str">
        <f>IF(AND('Mapa final'!$AA$51="Muy Baja",'Mapa final'!$AC$51="Menor"),CONCATENATE("R9C",'Mapa final'!$Q$51),"")</f>
        <v/>
      </c>
      <c r="Q54" s="61" t="str">
        <f>IF(AND('Mapa final'!$AA$52="Muy Baja",'Mapa final'!$AC$52="Menor"),CONCATENATE("R9C",'Mapa final'!$Q$52),"")</f>
        <v/>
      </c>
      <c r="R54" s="61" t="str">
        <f>IF(AND('Mapa final'!$AA$53="Muy Baja",'Mapa final'!$AC$53="Menor"),CONCATENATE("R9C",'Mapa final'!$Q$53),"")</f>
        <v/>
      </c>
      <c r="S54" s="61" t="str">
        <f>IF(AND('Mapa final'!$AA$54="Muy Baja",'Mapa final'!$AC$54="Menor"),CONCATENATE("R9C",'Mapa final'!$Q$54),"")</f>
        <v/>
      </c>
      <c r="T54" s="61" t="str">
        <f>IF(AND('Mapa final'!$AA$55="Muy Baja",'Mapa final'!$AC$55="Menor"),CONCATENATE("R9C",'Mapa final'!$Q$55),"")</f>
        <v/>
      </c>
      <c r="U54" s="62" t="str">
        <f>IF(AND('Mapa final'!$AA$56="Muy Baja",'Mapa final'!$AC$56="Menor"),CONCATENATE("R9C",'Mapa final'!$Q$56),"")</f>
        <v/>
      </c>
      <c r="V54" s="51" t="str">
        <f>IF(AND('Mapa final'!$AA$51="Muy Baja",'Mapa final'!$AC$51="Moderado"),CONCATENATE("R9C",'Mapa final'!$Q$51),"")</f>
        <v/>
      </c>
      <c r="W54" s="52" t="str">
        <f>IF(AND('Mapa final'!$AA$52="Muy Baja",'Mapa final'!$AC$52="Moderado"),CONCATENATE("R9C",'Mapa final'!$Q$52),"")</f>
        <v/>
      </c>
      <c r="X54" s="52" t="str">
        <f>IF(AND('Mapa final'!$AA$53="Muy Baja",'Mapa final'!$AC$53="Moderado"),CONCATENATE("R9C",'Mapa final'!$Q$53),"")</f>
        <v/>
      </c>
      <c r="Y54" s="52" t="str">
        <f>IF(AND('Mapa final'!$AA$54="Muy Baja",'Mapa final'!$AC$54="Moderado"),CONCATENATE("R9C",'Mapa final'!$Q$54),"")</f>
        <v/>
      </c>
      <c r="Z54" s="52" t="str">
        <f>IF(AND('Mapa final'!$AA$55="Muy Baja",'Mapa final'!$AC$55="Moderado"),CONCATENATE("R9C",'Mapa final'!$Q$55),"")</f>
        <v/>
      </c>
      <c r="AA54" s="53" t="str">
        <f>IF(AND('Mapa final'!$AA$56="Muy Baja",'Mapa final'!$AC$56="Moderado"),CONCATENATE("R9C",'Mapa final'!$Q$56),"")</f>
        <v/>
      </c>
      <c r="AB54" s="36" t="str">
        <f>IF(AND('Mapa final'!$AA$51="Muy Baja",'Mapa final'!$AC$51="Mayor"),CONCATENATE("R9C",'Mapa final'!$Q$51),"")</f>
        <v/>
      </c>
      <c r="AC54" s="37" t="str">
        <f>IF(AND('Mapa final'!$AA$52="Muy Baja",'Mapa final'!$AC$52="Mayor"),CONCATENATE("R9C",'Mapa final'!$Q$52),"")</f>
        <v/>
      </c>
      <c r="AD54" s="37" t="str">
        <f>IF(AND('Mapa final'!$AA$53="Muy Baja",'Mapa final'!$AC$53="Mayor"),CONCATENATE("R9C",'Mapa final'!$Q$53),"")</f>
        <v/>
      </c>
      <c r="AE54" s="37" t="str">
        <f>IF(AND('Mapa final'!$AA$54="Muy Baja",'Mapa final'!$AC$54="Mayor"),CONCATENATE("R9C",'Mapa final'!$Q$54),"")</f>
        <v/>
      </c>
      <c r="AF54" s="37" t="str">
        <f>IF(AND('Mapa final'!$AA$55="Muy Baja",'Mapa final'!$AC$55="Mayor"),CONCATENATE("R9C",'Mapa final'!$Q$55),"")</f>
        <v/>
      </c>
      <c r="AG54" s="38" t="str">
        <f>IF(AND('Mapa final'!$AA$56="Muy Baja",'Mapa final'!$AC$56="Mayor"),CONCATENATE("R9C",'Mapa final'!$Q$56),"")</f>
        <v/>
      </c>
      <c r="AH54" s="39" t="str">
        <f>IF(AND('Mapa final'!$AA$51="Muy Baja",'Mapa final'!$AC$51="Catastrófico"),CONCATENATE("R9C",'Mapa final'!$Q$51),"")</f>
        <v/>
      </c>
      <c r="AI54" s="40" t="str">
        <f>IF(AND('Mapa final'!$AA$52="Muy Baja",'Mapa final'!$AC$52="Catastrófico"),CONCATENATE("R9C",'Mapa final'!$Q$52),"")</f>
        <v/>
      </c>
      <c r="AJ54" s="40" t="str">
        <f>IF(AND('Mapa final'!$AA$53="Muy Baja",'Mapa final'!$AC$53="Catastrófico"),CONCATENATE("R9C",'Mapa final'!$Q$53),"")</f>
        <v/>
      </c>
      <c r="AK54" s="40" t="str">
        <f>IF(AND('Mapa final'!$AA$54="Muy Baja",'Mapa final'!$AC$54="Catastrófico"),CONCATENATE("R9C",'Mapa final'!$Q$54),"")</f>
        <v/>
      </c>
      <c r="AL54" s="40" t="str">
        <f>IF(AND('Mapa final'!$AA$55="Muy Baja",'Mapa final'!$AC$55="Catastrófico"),CONCATENATE("R9C",'Mapa final'!$Q$55),"")</f>
        <v/>
      </c>
      <c r="AM54" s="41" t="str">
        <f>IF(AND('Mapa final'!$AA$56="Muy Baja",'Mapa final'!$AC$56="Catastrófico"),CONCATENATE("R9C",'Mapa final'!$Q$56),"")</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294"/>
      <c r="C55" s="294"/>
      <c r="D55" s="295"/>
      <c r="E55" s="394"/>
      <c r="F55" s="395"/>
      <c r="G55" s="395"/>
      <c r="H55" s="395"/>
      <c r="I55" s="409"/>
      <c r="J55" s="63" t="str">
        <f>IF(AND('Mapa final'!$AA$57="Muy Baja",'Mapa final'!$AC$57="Leve"),CONCATENATE("R10C",'Mapa final'!$Q$57),"")</f>
        <v/>
      </c>
      <c r="K55" s="64" t="str">
        <f>IF(AND('Mapa final'!$AA$58="Muy Baja",'Mapa final'!$AC$58="Leve"),CONCATENATE("R10C",'Mapa final'!$Q$58),"")</f>
        <v/>
      </c>
      <c r="L55" s="64" t="str">
        <f>IF(AND('Mapa final'!$AA$59="Muy Baja",'Mapa final'!$AC$59="Leve"),CONCATENATE("R10C",'Mapa final'!$Q$59),"")</f>
        <v/>
      </c>
      <c r="M55" s="64" t="str">
        <f>IF(AND('Mapa final'!$AA$60="Muy Baja",'Mapa final'!$AC$60="Leve"),CONCATENATE("R10C",'Mapa final'!$Q$60),"")</f>
        <v/>
      </c>
      <c r="N55" s="64" t="str">
        <f>IF(AND('Mapa final'!$AA$61="Muy Baja",'Mapa final'!$AC$61="Leve"),CONCATENATE("R10C",'Mapa final'!$Q$61),"")</f>
        <v/>
      </c>
      <c r="O55" s="65" t="str">
        <f>IF(AND('Mapa final'!$AA$62="Muy Baja",'Mapa final'!$AC$62="Leve"),CONCATENATE("R10C",'Mapa final'!$Q$62),"")</f>
        <v/>
      </c>
      <c r="P55" s="63" t="str">
        <f>IF(AND('Mapa final'!$AA$57="Muy Baja",'Mapa final'!$AC$57="Menor"),CONCATENATE("R10C",'Mapa final'!$Q$57),"")</f>
        <v/>
      </c>
      <c r="Q55" s="64" t="str">
        <f>IF(AND('Mapa final'!$AA$58="Muy Baja",'Mapa final'!$AC$58="Menor"),CONCATENATE("R10C",'Mapa final'!$Q$58),"")</f>
        <v/>
      </c>
      <c r="R55" s="64" t="str">
        <f>IF(AND('Mapa final'!$AA$59="Muy Baja",'Mapa final'!$AC$59="Menor"),CONCATENATE("R10C",'Mapa final'!$Q$59),"")</f>
        <v/>
      </c>
      <c r="S55" s="64" t="str">
        <f>IF(AND('Mapa final'!$AA$60="Muy Baja",'Mapa final'!$AC$60="Menor"),CONCATENATE("R10C",'Mapa final'!$Q$60),"")</f>
        <v/>
      </c>
      <c r="T55" s="64" t="str">
        <f>IF(AND('Mapa final'!$AA$61="Muy Baja",'Mapa final'!$AC$61="Menor"),CONCATENATE("R10C",'Mapa final'!$Q$61),"")</f>
        <v/>
      </c>
      <c r="U55" s="65" t="str">
        <f>IF(AND('Mapa final'!$AA$62="Muy Baja",'Mapa final'!$AC$62="Menor"),CONCATENATE("R10C",'Mapa final'!$Q$62),"")</f>
        <v/>
      </c>
      <c r="V55" s="54" t="str">
        <f>IF(AND('Mapa final'!$AA$57="Muy Baja",'Mapa final'!$AC$57="Moderado"),CONCATENATE("R10C",'Mapa final'!$Q$57),"")</f>
        <v/>
      </c>
      <c r="W55" s="55" t="str">
        <f>IF(AND('Mapa final'!$AA$58="Muy Baja",'Mapa final'!$AC$58="Moderado"),CONCATENATE("R10C",'Mapa final'!$Q$58),"")</f>
        <v/>
      </c>
      <c r="X55" s="55" t="str">
        <f>IF(AND('Mapa final'!$AA$59="Muy Baja",'Mapa final'!$AC$59="Moderado"),CONCATENATE("R10C",'Mapa final'!$Q$59),"")</f>
        <v/>
      </c>
      <c r="Y55" s="55" t="str">
        <f>IF(AND('Mapa final'!$AA$60="Muy Baja",'Mapa final'!$AC$60="Moderado"),CONCATENATE("R10C",'Mapa final'!$Q$60),"")</f>
        <v/>
      </c>
      <c r="Z55" s="55" t="str">
        <f>IF(AND('Mapa final'!$AA$61="Muy Baja",'Mapa final'!$AC$61="Moderado"),CONCATENATE("R10C",'Mapa final'!$Q$61),"")</f>
        <v/>
      </c>
      <c r="AA55" s="56" t="str">
        <f>IF(AND('Mapa final'!$AA$62="Muy Baja",'Mapa final'!$AC$62="Moderado"),CONCATENATE("R10C",'Mapa final'!$Q$62),"")</f>
        <v/>
      </c>
      <c r="AB55" s="42" t="str">
        <f>IF(AND('Mapa final'!$AA$57="Muy Baja",'Mapa final'!$AC$57="Mayor"),CONCATENATE("R10C",'Mapa final'!$Q$57),"")</f>
        <v/>
      </c>
      <c r="AC55" s="43" t="str">
        <f>IF(AND('Mapa final'!$AA$58="Muy Baja",'Mapa final'!$AC$58="Mayor"),CONCATENATE("R10C",'Mapa final'!$Q$58),"")</f>
        <v/>
      </c>
      <c r="AD55" s="43" t="str">
        <f>IF(AND('Mapa final'!$AA$59="Muy Baja",'Mapa final'!$AC$59="Mayor"),CONCATENATE("R10C",'Mapa final'!$Q$59),"")</f>
        <v/>
      </c>
      <c r="AE55" s="43" t="str">
        <f>IF(AND('Mapa final'!$AA$60="Muy Baja",'Mapa final'!$AC$60="Mayor"),CONCATENATE("R10C",'Mapa final'!$Q$60),"")</f>
        <v/>
      </c>
      <c r="AF55" s="43" t="str">
        <f>IF(AND('Mapa final'!$AA$61="Muy Baja",'Mapa final'!$AC$61="Mayor"),CONCATENATE("R10C",'Mapa final'!$Q$61),"")</f>
        <v/>
      </c>
      <c r="AG55" s="44" t="str">
        <f>IF(AND('Mapa final'!$AA$62="Muy Baja",'Mapa final'!$AC$62="Mayor"),CONCATENATE("R10C",'Mapa final'!$Q$62),"")</f>
        <v/>
      </c>
      <c r="AH55" s="45" t="str">
        <f>IF(AND('Mapa final'!$AA$57="Muy Baja",'Mapa final'!$AC$57="Catastrófico"),CONCATENATE("R10C",'Mapa final'!$Q$57),"")</f>
        <v/>
      </c>
      <c r="AI55" s="46" t="str">
        <f>IF(AND('Mapa final'!$AA$58="Muy Baja",'Mapa final'!$AC$58="Catastrófico"),CONCATENATE("R10C",'Mapa final'!$Q$58),"")</f>
        <v/>
      </c>
      <c r="AJ55" s="46" t="str">
        <f>IF(AND('Mapa final'!$AA$59="Muy Baja",'Mapa final'!$AC$59="Catastrófico"),CONCATENATE("R10C",'Mapa final'!$Q$59),"")</f>
        <v/>
      </c>
      <c r="AK55" s="46" t="str">
        <f>IF(AND('Mapa final'!$AA$60="Muy Baja",'Mapa final'!$AC$60="Catastrófico"),CONCATENATE("R10C",'Mapa final'!$Q$60),"")</f>
        <v/>
      </c>
      <c r="AL55" s="46" t="str">
        <f>IF(AND('Mapa final'!$AA$61="Muy Baja",'Mapa final'!$AC$61="Catastrófico"),CONCATENATE("R10C",'Mapa final'!$Q$61),"")</f>
        <v/>
      </c>
      <c r="AM55" s="47" t="str">
        <f>IF(AND('Mapa final'!$AA$62="Muy Baja",'Mapa final'!$AC$62="Catastrófico"),CONCATENATE("R10C",'Mapa final'!$Q$62),"")</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89" t="s">
        <v>107</v>
      </c>
      <c r="K56" s="390"/>
      <c r="L56" s="390"/>
      <c r="M56" s="390"/>
      <c r="N56" s="390"/>
      <c r="O56" s="407"/>
      <c r="P56" s="389" t="s">
        <v>106</v>
      </c>
      <c r="Q56" s="390"/>
      <c r="R56" s="390"/>
      <c r="S56" s="390"/>
      <c r="T56" s="390"/>
      <c r="U56" s="407"/>
      <c r="V56" s="389" t="s">
        <v>105</v>
      </c>
      <c r="W56" s="390"/>
      <c r="X56" s="390"/>
      <c r="Y56" s="390"/>
      <c r="Z56" s="390"/>
      <c r="AA56" s="407"/>
      <c r="AB56" s="389" t="s">
        <v>104</v>
      </c>
      <c r="AC56" s="428"/>
      <c r="AD56" s="390"/>
      <c r="AE56" s="390"/>
      <c r="AF56" s="390"/>
      <c r="AG56" s="407"/>
      <c r="AH56" s="389" t="s">
        <v>103</v>
      </c>
      <c r="AI56" s="390"/>
      <c r="AJ56" s="390"/>
      <c r="AK56" s="390"/>
      <c r="AL56" s="390"/>
      <c r="AM56" s="40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93"/>
      <c r="K57" s="392"/>
      <c r="L57" s="392"/>
      <c r="M57" s="392"/>
      <c r="N57" s="392"/>
      <c r="O57" s="408"/>
      <c r="P57" s="393"/>
      <c r="Q57" s="392"/>
      <c r="R57" s="392"/>
      <c r="S57" s="392"/>
      <c r="T57" s="392"/>
      <c r="U57" s="408"/>
      <c r="V57" s="393"/>
      <c r="W57" s="392"/>
      <c r="X57" s="392"/>
      <c r="Y57" s="392"/>
      <c r="Z57" s="392"/>
      <c r="AA57" s="408"/>
      <c r="AB57" s="393"/>
      <c r="AC57" s="392"/>
      <c r="AD57" s="392"/>
      <c r="AE57" s="392"/>
      <c r="AF57" s="392"/>
      <c r="AG57" s="408"/>
      <c r="AH57" s="393"/>
      <c r="AI57" s="392"/>
      <c r="AJ57" s="392"/>
      <c r="AK57" s="392"/>
      <c r="AL57" s="392"/>
      <c r="AM57" s="408"/>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93"/>
      <c r="K58" s="392"/>
      <c r="L58" s="392"/>
      <c r="M58" s="392"/>
      <c r="N58" s="392"/>
      <c r="O58" s="408"/>
      <c r="P58" s="393"/>
      <c r="Q58" s="392"/>
      <c r="R58" s="392"/>
      <c r="S58" s="392"/>
      <c r="T58" s="392"/>
      <c r="U58" s="408"/>
      <c r="V58" s="393"/>
      <c r="W58" s="392"/>
      <c r="X58" s="392"/>
      <c r="Y58" s="392"/>
      <c r="Z58" s="392"/>
      <c r="AA58" s="408"/>
      <c r="AB58" s="393"/>
      <c r="AC58" s="392"/>
      <c r="AD58" s="392"/>
      <c r="AE58" s="392"/>
      <c r="AF58" s="392"/>
      <c r="AG58" s="408"/>
      <c r="AH58" s="393"/>
      <c r="AI58" s="392"/>
      <c r="AJ58" s="392"/>
      <c r="AK58" s="392"/>
      <c r="AL58" s="392"/>
      <c r="AM58" s="408"/>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93"/>
      <c r="K59" s="392"/>
      <c r="L59" s="392"/>
      <c r="M59" s="392"/>
      <c r="N59" s="392"/>
      <c r="O59" s="408"/>
      <c r="P59" s="393"/>
      <c r="Q59" s="392"/>
      <c r="R59" s="392"/>
      <c r="S59" s="392"/>
      <c r="T59" s="392"/>
      <c r="U59" s="408"/>
      <c r="V59" s="393"/>
      <c r="W59" s="392"/>
      <c r="X59" s="392"/>
      <c r="Y59" s="392"/>
      <c r="Z59" s="392"/>
      <c r="AA59" s="408"/>
      <c r="AB59" s="393"/>
      <c r="AC59" s="392"/>
      <c r="AD59" s="392"/>
      <c r="AE59" s="392"/>
      <c r="AF59" s="392"/>
      <c r="AG59" s="408"/>
      <c r="AH59" s="393"/>
      <c r="AI59" s="392"/>
      <c r="AJ59" s="392"/>
      <c r="AK59" s="392"/>
      <c r="AL59" s="392"/>
      <c r="AM59" s="408"/>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93"/>
      <c r="K60" s="392"/>
      <c r="L60" s="392"/>
      <c r="M60" s="392"/>
      <c r="N60" s="392"/>
      <c r="O60" s="408"/>
      <c r="P60" s="393"/>
      <c r="Q60" s="392"/>
      <c r="R60" s="392"/>
      <c r="S60" s="392"/>
      <c r="T60" s="392"/>
      <c r="U60" s="408"/>
      <c r="V60" s="393"/>
      <c r="W60" s="392"/>
      <c r="X60" s="392"/>
      <c r="Y60" s="392"/>
      <c r="Z60" s="392"/>
      <c r="AA60" s="408"/>
      <c r="AB60" s="393"/>
      <c r="AC60" s="392"/>
      <c r="AD60" s="392"/>
      <c r="AE60" s="392"/>
      <c r="AF60" s="392"/>
      <c r="AG60" s="408"/>
      <c r="AH60" s="393"/>
      <c r="AI60" s="392"/>
      <c r="AJ60" s="392"/>
      <c r="AK60" s="392"/>
      <c r="AL60" s="392"/>
      <c r="AM60" s="408"/>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94"/>
      <c r="K61" s="395"/>
      <c r="L61" s="395"/>
      <c r="M61" s="395"/>
      <c r="N61" s="395"/>
      <c r="O61" s="409"/>
      <c r="P61" s="394"/>
      <c r="Q61" s="395"/>
      <c r="R61" s="395"/>
      <c r="S61" s="395"/>
      <c r="T61" s="395"/>
      <c r="U61" s="409"/>
      <c r="V61" s="394"/>
      <c r="W61" s="395"/>
      <c r="X61" s="395"/>
      <c r="Y61" s="395"/>
      <c r="Z61" s="395"/>
      <c r="AA61" s="409"/>
      <c r="AB61" s="394"/>
      <c r="AC61" s="395"/>
      <c r="AD61" s="395"/>
      <c r="AE61" s="395"/>
      <c r="AF61" s="395"/>
      <c r="AG61" s="409"/>
      <c r="AH61" s="394"/>
      <c r="AI61" s="395"/>
      <c r="AJ61" s="395"/>
      <c r="AK61" s="395"/>
      <c r="AL61" s="395"/>
      <c r="AM61" s="409"/>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80" zoomScaleNormal="80"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29" t="s">
        <v>55</v>
      </c>
      <c r="C1" s="429"/>
      <c r="D1" s="42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topLeftCell="B1" zoomScale="60" zoomScaleNormal="60" workbookViewId="0">
      <selection activeCell="D18" sqref="D17:D18"/>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30" t="s">
        <v>62</v>
      </c>
      <c r="C1" s="430"/>
      <c r="D1" s="430"/>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7" t="s">
        <v>56</v>
      </c>
      <c r="D3" s="127" t="s">
        <v>57</v>
      </c>
      <c r="E3" s="89"/>
      <c r="F3" s="89"/>
      <c r="G3" s="89"/>
      <c r="H3" s="89"/>
      <c r="I3" s="89"/>
      <c r="J3" s="89"/>
      <c r="K3" s="89"/>
      <c r="L3" s="89"/>
      <c r="M3" s="89"/>
      <c r="N3" s="89"/>
      <c r="O3" s="89"/>
      <c r="P3" s="89"/>
      <c r="Q3" s="89"/>
      <c r="R3" s="89"/>
      <c r="S3" s="89"/>
      <c r="T3" s="89"/>
      <c r="U3" s="89"/>
    </row>
    <row r="4" spans="1:21" ht="33.75" x14ac:dyDescent="0.25">
      <c r="A4" s="89" t="s">
        <v>82</v>
      </c>
      <c r="B4" s="128" t="s">
        <v>96</v>
      </c>
      <c r="C4" s="129" t="s">
        <v>205</v>
      </c>
      <c r="D4" s="130" t="s">
        <v>92</v>
      </c>
      <c r="E4" s="89"/>
      <c r="F4" s="89"/>
      <c r="G4" s="89"/>
      <c r="H4" s="89"/>
      <c r="I4" s="89"/>
      <c r="J4" s="89"/>
      <c r="K4" s="89"/>
      <c r="L4" s="89"/>
      <c r="M4" s="89"/>
      <c r="N4" s="89"/>
      <c r="O4" s="89"/>
      <c r="P4" s="89"/>
      <c r="Q4" s="89"/>
      <c r="R4" s="89"/>
      <c r="S4" s="89"/>
      <c r="T4" s="89"/>
      <c r="U4" s="89"/>
    </row>
    <row r="5" spans="1:21" ht="67.5" x14ac:dyDescent="0.25">
      <c r="A5" s="89" t="s">
        <v>83</v>
      </c>
      <c r="B5" s="131" t="s">
        <v>58</v>
      </c>
      <c r="C5" s="132" t="s">
        <v>206</v>
      </c>
      <c r="D5" s="133" t="s">
        <v>93</v>
      </c>
      <c r="E5" s="89"/>
      <c r="F5" s="89"/>
      <c r="G5" s="89"/>
      <c r="H5" s="89"/>
      <c r="I5" s="89"/>
      <c r="J5" s="89"/>
      <c r="K5" s="89"/>
      <c r="L5" s="89"/>
      <c r="M5" s="89"/>
      <c r="N5" s="89"/>
      <c r="O5" s="89"/>
      <c r="P5" s="89"/>
      <c r="Q5" s="89"/>
      <c r="R5" s="89"/>
      <c r="S5" s="89"/>
      <c r="T5" s="89"/>
      <c r="U5" s="89"/>
    </row>
    <row r="6" spans="1:21" ht="67.5" x14ac:dyDescent="0.25">
      <c r="A6" s="89" t="s">
        <v>80</v>
      </c>
      <c r="B6" s="134" t="s">
        <v>59</v>
      </c>
      <c r="C6" s="132" t="s">
        <v>210</v>
      </c>
      <c r="D6" s="133" t="s">
        <v>95</v>
      </c>
      <c r="E6" s="89"/>
      <c r="F6" s="89"/>
      <c r="G6" s="89"/>
      <c r="H6" s="89"/>
      <c r="I6" s="89"/>
      <c r="J6" s="89"/>
      <c r="K6" s="89"/>
      <c r="L6" s="89"/>
      <c r="M6" s="89"/>
      <c r="N6" s="89"/>
      <c r="O6" s="89"/>
      <c r="P6" s="89"/>
      <c r="Q6" s="89"/>
      <c r="R6" s="89"/>
      <c r="S6" s="89"/>
      <c r="T6" s="89"/>
      <c r="U6" s="89"/>
    </row>
    <row r="7" spans="1:21" ht="101.25" x14ac:dyDescent="0.25">
      <c r="A7" s="89" t="s">
        <v>7</v>
      </c>
      <c r="B7" s="135" t="s">
        <v>60</v>
      </c>
      <c r="C7" s="132" t="s">
        <v>211</v>
      </c>
      <c r="D7" s="133" t="s">
        <v>94</v>
      </c>
      <c r="E7" s="89"/>
      <c r="F7" s="89"/>
      <c r="G7" s="89"/>
      <c r="H7" s="89"/>
      <c r="I7" s="89"/>
      <c r="J7" s="89"/>
      <c r="K7" s="89"/>
      <c r="L7" s="89"/>
      <c r="M7" s="89"/>
      <c r="N7" s="89"/>
      <c r="O7" s="89"/>
      <c r="P7" s="89"/>
      <c r="Q7" s="89"/>
      <c r="R7" s="89"/>
      <c r="S7" s="89"/>
      <c r="T7" s="89"/>
      <c r="U7" s="89"/>
    </row>
    <row r="8" spans="1:21" ht="67.5" x14ac:dyDescent="0.25">
      <c r="A8" s="89" t="s">
        <v>84</v>
      </c>
      <c r="B8" s="136" t="s">
        <v>61</v>
      </c>
      <c r="C8" s="132" t="s">
        <v>207</v>
      </c>
      <c r="D8" s="133" t="s">
        <v>113</v>
      </c>
      <c r="E8" s="89"/>
      <c r="F8" s="89"/>
      <c r="G8" s="89"/>
      <c r="H8" s="89"/>
      <c r="I8" s="89"/>
      <c r="J8" s="89"/>
      <c r="K8" s="89"/>
      <c r="L8" s="89"/>
      <c r="M8" s="89"/>
      <c r="N8" s="89"/>
      <c r="O8" s="89"/>
      <c r="P8" s="89"/>
      <c r="Q8" s="89"/>
      <c r="R8" s="89"/>
      <c r="S8" s="89"/>
      <c r="T8" s="89"/>
      <c r="U8" s="89"/>
    </row>
    <row r="9" spans="1:21" s="23" customFormat="1" ht="20.25" x14ac:dyDescent="0.25">
      <c r="A9" s="87"/>
      <c r="B9" s="87"/>
      <c r="C9" s="140"/>
      <c r="D9" s="140"/>
      <c r="E9" s="87"/>
      <c r="F9" s="87"/>
      <c r="G9" s="87"/>
      <c r="H9" s="87"/>
      <c r="I9" s="87"/>
      <c r="J9" s="87"/>
      <c r="K9" s="87"/>
      <c r="L9" s="87"/>
      <c r="M9" s="87"/>
      <c r="N9" s="87"/>
      <c r="O9" s="87"/>
      <c r="P9" s="87"/>
      <c r="Q9" s="87"/>
      <c r="R9" s="87"/>
      <c r="S9" s="87"/>
      <c r="T9" s="87"/>
      <c r="U9" s="87"/>
    </row>
    <row r="10" spans="1:21" s="23" customFormat="1" ht="16.5" x14ac:dyDescent="0.25">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0"/>
      <c r="D22" s="140"/>
      <c r="E22" s="87"/>
      <c r="F22" s="87"/>
      <c r="G22" s="87"/>
      <c r="H22" s="87"/>
      <c r="I22" s="87"/>
      <c r="J22" s="87"/>
      <c r="K22" s="87"/>
      <c r="L22" s="87"/>
      <c r="M22" s="87"/>
      <c r="N22" s="87"/>
      <c r="O22" s="87"/>
    </row>
    <row r="23" spans="1:15" s="23" customFormat="1" ht="20.25" x14ac:dyDescent="0.25">
      <c r="A23" s="87"/>
      <c r="B23" s="87"/>
      <c r="C23" s="140"/>
      <c r="D23" s="140"/>
      <c r="E23" s="87"/>
      <c r="F23" s="87"/>
      <c r="G23" s="87"/>
      <c r="H23" s="87"/>
      <c r="I23" s="87"/>
      <c r="J23" s="87"/>
      <c r="K23" s="87"/>
      <c r="L23" s="87"/>
      <c r="M23" s="87"/>
      <c r="N23" s="87"/>
      <c r="O23" s="87"/>
    </row>
    <row r="24" spans="1:15" s="23" customFormat="1" ht="20.25" x14ac:dyDescent="0.25">
      <c r="A24" s="87"/>
      <c r="B24" s="87"/>
      <c r="C24" s="140"/>
      <c r="D24" s="140"/>
      <c r="E24" s="87"/>
      <c r="F24" s="87"/>
      <c r="G24" s="87"/>
      <c r="H24" s="87"/>
      <c r="I24" s="87"/>
      <c r="J24" s="87"/>
      <c r="K24" s="87"/>
      <c r="L24" s="87"/>
      <c r="M24" s="87"/>
      <c r="N24" s="87"/>
      <c r="O24" s="87"/>
    </row>
    <row r="25" spans="1:15" s="23" customFormat="1" ht="20.25" x14ac:dyDescent="0.25">
      <c r="A25" s="87"/>
      <c r="B25" s="87"/>
      <c r="C25" s="140"/>
      <c r="D25" s="140"/>
      <c r="E25" s="87"/>
      <c r="F25" s="87"/>
      <c r="G25" s="87"/>
      <c r="H25" s="87"/>
      <c r="I25" s="87"/>
      <c r="J25" s="87"/>
      <c r="K25" s="87"/>
      <c r="L25" s="87"/>
      <c r="M25" s="87"/>
      <c r="N25" s="87"/>
      <c r="O25" s="87"/>
    </row>
    <row r="26" spans="1:15" s="23" customFormat="1" ht="20.25" x14ac:dyDescent="0.25">
      <c r="A26" s="87"/>
      <c r="B26" s="87"/>
      <c r="C26" s="140"/>
      <c r="D26" s="140"/>
      <c r="E26" s="87"/>
      <c r="F26" s="87"/>
      <c r="G26" s="87"/>
      <c r="H26" s="87"/>
      <c r="I26" s="87"/>
      <c r="J26" s="87"/>
      <c r="K26" s="87"/>
      <c r="L26" s="87"/>
      <c r="M26" s="87"/>
      <c r="N26" s="87"/>
      <c r="O26" s="87"/>
    </row>
    <row r="27" spans="1:15" s="23" customFormat="1" ht="20.25" x14ac:dyDescent="0.25">
      <c r="A27" s="87"/>
      <c r="B27" s="87"/>
      <c r="C27" s="140"/>
      <c r="D27" s="140"/>
      <c r="E27" s="87"/>
      <c r="F27" s="87"/>
      <c r="G27" s="87"/>
      <c r="H27" s="87"/>
      <c r="I27" s="87"/>
      <c r="J27" s="87"/>
      <c r="K27" s="87"/>
      <c r="L27" s="87"/>
      <c r="M27" s="87"/>
      <c r="N27" s="87"/>
      <c r="O27" s="87"/>
    </row>
    <row r="28" spans="1:15" s="23" customFormat="1" ht="20.25" x14ac:dyDescent="0.25">
      <c r="A28" s="87"/>
      <c r="B28" s="87"/>
      <c r="C28" s="140"/>
      <c r="D28" s="140"/>
      <c r="E28" s="87"/>
      <c r="F28" s="87"/>
      <c r="G28" s="87"/>
      <c r="H28" s="87"/>
      <c r="I28" s="87"/>
      <c r="J28" s="87"/>
      <c r="K28" s="87"/>
      <c r="L28" s="87"/>
      <c r="M28" s="87"/>
      <c r="N28" s="87"/>
      <c r="O28" s="87"/>
    </row>
    <row r="29" spans="1:15" s="23" customFormat="1" ht="20.25" x14ac:dyDescent="0.25">
      <c r="A29" s="87"/>
      <c r="B29" s="87"/>
      <c r="C29" s="140"/>
      <c r="D29" s="140"/>
      <c r="E29" s="87"/>
      <c r="F29" s="87"/>
      <c r="G29" s="87"/>
      <c r="H29" s="87"/>
      <c r="I29" s="87"/>
      <c r="J29" s="87"/>
      <c r="K29" s="87"/>
      <c r="L29" s="87"/>
      <c r="M29" s="87"/>
      <c r="N29" s="87"/>
      <c r="O29" s="87"/>
    </row>
    <row r="30" spans="1:15" s="23" customFormat="1" ht="20.25" x14ac:dyDescent="0.25">
      <c r="A30" s="87"/>
      <c r="B30" s="87"/>
      <c r="C30" s="140"/>
      <c r="D30" s="140"/>
      <c r="E30" s="87"/>
      <c r="F30" s="87"/>
      <c r="G30" s="87"/>
      <c r="H30" s="87"/>
      <c r="I30" s="87"/>
      <c r="J30" s="87"/>
      <c r="K30" s="87"/>
      <c r="L30" s="87"/>
      <c r="M30" s="87"/>
      <c r="N30" s="87"/>
      <c r="O30" s="87"/>
    </row>
    <row r="31" spans="1:15" s="23" customFormat="1" ht="20.25" x14ac:dyDescent="0.25">
      <c r="A31" s="87"/>
      <c r="B31" s="87"/>
      <c r="C31" s="140"/>
      <c r="D31" s="140"/>
      <c r="E31" s="87"/>
      <c r="F31" s="87"/>
      <c r="G31" s="87"/>
      <c r="H31" s="87"/>
      <c r="I31" s="87"/>
      <c r="J31" s="87"/>
      <c r="K31" s="87"/>
      <c r="L31" s="87"/>
      <c r="M31" s="87"/>
      <c r="N31" s="87"/>
      <c r="O31" s="87"/>
    </row>
    <row r="32" spans="1:15" s="23" customFormat="1" ht="20.25" x14ac:dyDescent="0.25">
      <c r="A32" s="87"/>
      <c r="B32" s="87"/>
      <c r="C32" s="140"/>
      <c r="D32" s="140"/>
      <c r="E32" s="87"/>
      <c r="F32" s="87"/>
      <c r="G32" s="87"/>
      <c r="H32" s="87"/>
      <c r="I32" s="87"/>
      <c r="J32" s="87"/>
      <c r="K32" s="87"/>
      <c r="L32" s="87"/>
      <c r="M32" s="87"/>
      <c r="N32" s="87"/>
      <c r="O32" s="87"/>
    </row>
    <row r="33" spans="1:15" s="23" customFormat="1" ht="20.25" x14ac:dyDescent="0.25">
      <c r="A33" s="87"/>
      <c r="B33" s="87"/>
      <c r="C33" s="140"/>
      <c r="D33" s="140"/>
      <c r="E33" s="87"/>
      <c r="F33" s="87"/>
      <c r="G33" s="87"/>
      <c r="H33" s="87"/>
      <c r="I33" s="87"/>
      <c r="J33" s="87"/>
      <c r="K33" s="87"/>
      <c r="L33" s="87"/>
      <c r="M33" s="87"/>
      <c r="N33" s="87"/>
      <c r="O33" s="87"/>
    </row>
    <row r="34" spans="1:15" s="23" customFormat="1" ht="20.25" x14ac:dyDescent="0.25">
      <c r="A34" s="87"/>
      <c r="B34" s="87"/>
      <c r="C34" s="140"/>
      <c r="D34" s="140"/>
      <c r="E34" s="87"/>
      <c r="F34" s="87"/>
      <c r="G34" s="87"/>
      <c r="H34" s="87"/>
      <c r="I34" s="87"/>
      <c r="J34" s="87"/>
      <c r="K34" s="87"/>
      <c r="L34" s="87"/>
      <c r="M34" s="87"/>
      <c r="N34" s="87"/>
      <c r="O34" s="87"/>
    </row>
    <row r="35" spans="1:15" s="23" customFormat="1" ht="20.25" x14ac:dyDescent="0.25">
      <c r="A35" s="87"/>
      <c r="B35" s="87"/>
      <c r="C35" s="140"/>
      <c r="D35" s="140"/>
      <c r="E35" s="87"/>
      <c r="F35" s="87"/>
      <c r="G35" s="87"/>
      <c r="H35" s="87"/>
      <c r="I35" s="87"/>
      <c r="J35" s="87"/>
      <c r="K35" s="87"/>
      <c r="L35" s="87"/>
      <c r="M35" s="87"/>
      <c r="N35" s="87"/>
      <c r="O35" s="87"/>
    </row>
    <row r="36" spans="1:15" s="23" customFormat="1" ht="20.25" x14ac:dyDescent="0.25">
      <c r="A36" s="87"/>
      <c r="B36" s="87"/>
      <c r="C36" s="140"/>
      <c r="D36" s="140"/>
      <c r="E36" s="87"/>
      <c r="F36" s="87"/>
      <c r="G36" s="87"/>
      <c r="H36" s="87"/>
      <c r="I36" s="87"/>
      <c r="J36" s="87"/>
      <c r="K36" s="87"/>
      <c r="L36" s="87"/>
      <c r="M36" s="87"/>
      <c r="N36" s="87"/>
      <c r="O36" s="87"/>
    </row>
    <row r="37" spans="1:15" s="23" customFormat="1" ht="20.25" x14ac:dyDescent="0.25">
      <c r="A37" s="87"/>
      <c r="B37" s="87"/>
      <c r="C37" s="140"/>
      <c r="D37" s="140"/>
      <c r="E37" s="87"/>
      <c r="F37" s="87"/>
      <c r="G37" s="87"/>
      <c r="H37" s="87"/>
      <c r="I37" s="87"/>
      <c r="J37" s="87"/>
      <c r="K37" s="87"/>
      <c r="L37" s="87"/>
      <c r="M37" s="87"/>
      <c r="N37" s="87"/>
      <c r="O37" s="87"/>
    </row>
    <row r="38" spans="1:15" s="23" customFormat="1" ht="20.25" x14ac:dyDescent="0.25">
      <c r="A38" s="87"/>
      <c r="B38" s="87"/>
      <c r="C38" s="140"/>
      <c r="D38" s="140"/>
      <c r="E38" s="87"/>
      <c r="F38" s="87"/>
      <c r="G38" s="87"/>
      <c r="H38" s="87"/>
      <c r="I38" s="87"/>
      <c r="J38" s="87"/>
      <c r="K38" s="87"/>
      <c r="L38" s="87"/>
      <c r="M38" s="87"/>
      <c r="N38" s="87"/>
      <c r="O38" s="87"/>
    </row>
    <row r="39" spans="1:15" s="23" customFormat="1" ht="20.25" x14ac:dyDescent="0.25">
      <c r="A39" s="87"/>
      <c r="B39" s="87"/>
      <c r="C39" s="140"/>
      <c r="D39" s="140"/>
      <c r="E39" s="87"/>
      <c r="F39" s="87"/>
      <c r="G39" s="87"/>
      <c r="H39" s="87"/>
      <c r="I39" s="87"/>
      <c r="J39" s="87"/>
      <c r="K39" s="87"/>
      <c r="L39" s="87"/>
      <c r="M39" s="87"/>
      <c r="N39" s="87"/>
      <c r="O39" s="87"/>
    </row>
    <row r="40" spans="1:15" s="23" customFormat="1" ht="20.25" x14ac:dyDescent="0.25">
      <c r="A40" s="87"/>
      <c r="B40" s="87"/>
      <c r="C40" s="140"/>
      <c r="D40" s="140"/>
      <c r="E40" s="87"/>
      <c r="F40" s="87"/>
      <c r="G40" s="87"/>
      <c r="H40" s="87"/>
      <c r="I40" s="87"/>
      <c r="J40" s="87"/>
      <c r="K40" s="87"/>
      <c r="L40" s="87"/>
      <c r="M40" s="87"/>
      <c r="N40" s="87"/>
      <c r="O40" s="87"/>
    </row>
    <row r="41" spans="1:15" s="23" customFormat="1" ht="20.25" x14ac:dyDescent="0.25">
      <c r="A41" s="87"/>
      <c r="B41" s="87"/>
      <c r="C41" s="140"/>
      <c r="D41" s="140"/>
      <c r="E41" s="87"/>
      <c r="F41" s="87"/>
      <c r="G41" s="87"/>
      <c r="H41" s="87"/>
      <c r="I41" s="87"/>
      <c r="J41" s="87"/>
      <c r="K41" s="87"/>
      <c r="L41" s="87"/>
      <c r="M41" s="87"/>
      <c r="N41" s="87"/>
      <c r="O41" s="87"/>
    </row>
    <row r="42" spans="1:15" s="23" customFormat="1" ht="20.25" x14ac:dyDescent="0.25">
      <c r="A42" s="87"/>
      <c r="B42" s="87"/>
      <c r="C42" s="140"/>
      <c r="D42" s="140"/>
      <c r="E42" s="87"/>
      <c r="F42" s="87"/>
      <c r="G42" s="87"/>
      <c r="H42" s="87"/>
      <c r="I42" s="87"/>
      <c r="J42" s="87"/>
      <c r="K42" s="87"/>
      <c r="L42" s="87"/>
      <c r="M42" s="87"/>
      <c r="N42" s="87"/>
      <c r="O42" s="87"/>
    </row>
    <row r="43" spans="1:15" s="23" customFormat="1" ht="20.25" x14ac:dyDescent="0.25">
      <c r="A43" s="87"/>
      <c r="B43" s="87"/>
      <c r="C43" s="140"/>
      <c r="D43" s="140"/>
      <c r="E43" s="87"/>
      <c r="F43" s="87"/>
      <c r="G43" s="87"/>
      <c r="H43" s="87"/>
      <c r="I43" s="87"/>
      <c r="J43" s="87"/>
      <c r="K43" s="87"/>
      <c r="L43" s="87"/>
      <c r="M43" s="87"/>
      <c r="N43" s="87"/>
      <c r="O43" s="87"/>
    </row>
    <row r="44" spans="1:15" s="23" customFormat="1" ht="20.25" x14ac:dyDescent="0.25">
      <c r="A44" s="87"/>
      <c r="B44" s="87"/>
      <c r="C44" s="140"/>
      <c r="D44" s="140"/>
      <c r="E44" s="87"/>
      <c r="F44" s="87"/>
      <c r="G44" s="87"/>
      <c r="H44" s="87"/>
      <c r="I44" s="87"/>
      <c r="J44" s="87"/>
      <c r="K44" s="87"/>
      <c r="L44" s="87"/>
      <c r="M44" s="87"/>
      <c r="N44" s="87"/>
      <c r="O44" s="87"/>
    </row>
    <row r="45" spans="1:15" s="23" customFormat="1" ht="20.25" x14ac:dyDescent="0.25">
      <c r="A45" s="87"/>
      <c r="B45" s="87"/>
      <c r="C45" s="140"/>
      <c r="D45" s="140"/>
      <c r="E45" s="87"/>
      <c r="F45" s="87"/>
      <c r="G45" s="87"/>
      <c r="H45" s="87"/>
      <c r="I45" s="87"/>
      <c r="J45" s="87"/>
      <c r="K45" s="87"/>
      <c r="L45" s="87"/>
      <c r="M45" s="87"/>
      <c r="N45" s="87"/>
      <c r="O45" s="87"/>
    </row>
    <row r="46" spans="1:15" s="23" customFormat="1" ht="20.25" x14ac:dyDescent="0.25">
      <c r="A46" s="87"/>
      <c r="B46" s="87"/>
      <c r="C46" s="140"/>
      <c r="D46" s="140"/>
      <c r="E46" s="87"/>
      <c r="F46" s="87"/>
      <c r="G46" s="87"/>
      <c r="H46" s="87"/>
      <c r="I46" s="87"/>
      <c r="J46" s="87"/>
      <c r="K46" s="87"/>
      <c r="L46" s="87"/>
      <c r="M46" s="87"/>
      <c r="N46" s="87"/>
      <c r="O46" s="87"/>
    </row>
    <row r="47" spans="1:15" s="23" customFormat="1" ht="20.25" x14ac:dyDescent="0.25">
      <c r="A47" s="87"/>
      <c r="B47" s="87"/>
      <c r="C47" s="140"/>
      <c r="D47" s="140"/>
      <c r="E47" s="87"/>
      <c r="F47" s="87"/>
      <c r="G47" s="87"/>
      <c r="H47" s="87"/>
      <c r="I47" s="87"/>
      <c r="J47" s="87"/>
      <c r="K47" s="87"/>
      <c r="L47" s="87"/>
      <c r="M47" s="87"/>
      <c r="N47" s="87"/>
      <c r="O47" s="87"/>
    </row>
    <row r="48" spans="1:15" s="23" customFormat="1" ht="20.25" x14ac:dyDescent="0.25">
      <c r="A48" s="87"/>
      <c r="B48" s="87"/>
      <c r="C48" s="140"/>
      <c r="D48" s="140"/>
      <c r="E48" s="87"/>
      <c r="F48" s="87"/>
      <c r="G48" s="87"/>
      <c r="H48" s="87"/>
      <c r="I48" s="87"/>
      <c r="J48" s="87"/>
      <c r="K48" s="87"/>
      <c r="L48" s="87"/>
      <c r="M48" s="87"/>
      <c r="N48" s="87"/>
      <c r="O48" s="87"/>
    </row>
    <row r="49" spans="1:15" s="23" customFormat="1" ht="20.25" x14ac:dyDescent="0.25">
      <c r="A49" s="87"/>
      <c r="B49" s="87"/>
      <c r="C49" s="140"/>
      <c r="D49" s="140"/>
      <c r="E49" s="87"/>
      <c r="F49" s="87"/>
      <c r="G49" s="87"/>
      <c r="H49" s="87"/>
      <c r="I49" s="87"/>
      <c r="J49" s="87"/>
      <c r="K49" s="87"/>
      <c r="L49" s="87"/>
      <c r="M49" s="87"/>
      <c r="N49" s="87"/>
      <c r="O49" s="87"/>
    </row>
    <row r="50" spans="1:15" s="23" customFormat="1" ht="20.25" x14ac:dyDescent="0.25">
      <c r="A50" s="87"/>
      <c r="B50" s="87"/>
      <c r="C50" s="140"/>
      <c r="D50" s="140"/>
      <c r="E50" s="87"/>
      <c r="F50" s="87"/>
      <c r="G50" s="87"/>
      <c r="H50" s="87"/>
      <c r="I50" s="87"/>
      <c r="J50" s="87"/>
      <c r="K50" s="87"/>
      <c r="L50" s="87"/>
      <c r="M50" s="87"/>
      <c r="N50" s="87"/>
      <c r="O50" s="87"/>
    </row>
    <row r="51" spans="1:15" s="23" customFormat="1" ht="20.25" x14ac:dyDescent="0.25">
      <c r="A51" s="87"/>
      <c r="B51" s="87"/>
      <c r="C51" s="140"/>
      <c r="D51" s="140"/>
      <c r="E51" s="87"/>
      <c r="F51" s="87"/>
      <c r="G51" s="87"/>
      <c r="H51" s="87"/>
      <c r="I51" s="87"/>
      <c r="J51" s="87"/>
      <c r="K51" s="87"/>
      <c r="L51" s="87"/>
      <c r="M51" s="87"/>
      <c r="N51" s="87"/>
      <c r="O51" s="87"/>
    </row>
    <row r="52" spans="1:15" s="23" customFormat="1" ht="20.25" x14ac:dyDescent="0.25">
      <c r="A52" s="87"/>
      <c r="C52" s="142"/>
      <c r="D52" s="142"/>
    </row>
    <row r="53" spans="1:15" s="23" customFormat="1" ht="20.25" x14ac:dyDescent="0.25">
      <c r="A53" s="87"/>
      <c r="C53" s="142"/>
      <c r="D53" s="142"/>
    </row>
    <row r="54" spans="1:15" s="23" customFormat="1" ht="20.25" x14ac:dyDescent="0.25">
      <c r="A54" s="87"/>
      <c r="C54" s="142"/>
      <c r="D54" s="142"/>
    </row>
    <row r="55" spans="1:15" s="23" customFormat="1" ht="20.25" x14ac:dyDescent="0.25">
      <c r="A55" s="87"/>
      <c r="C55" s="142"/>
      <c r="D55" s="142"/>
    </row>
    <row r="56" spans="1:15" s="23" customFormat="1" ht="20.25" x14ac:dyDescent="0.25">
      <c r="A56" s="87"/>
      <c r="C56" s="142"/>
      <c r="D56" s="142"/>
    </row>
    <row r="57" spans="1:15" s="23" customFormat="1" ht="20.25" x14ac:dyDescent="0.25">
      <c r="A57" s="87"/>
      <c r="C57" s="142"/>
      <c r="D57" s="142"/>
    </row>
    <row r="58" spans="1:15" s="23" customFormat="1" ht="20.25" x14ac:dyDescent="0.25">
      <c r="A58" s="87"/>
      <c r="C58" s="142"/>
      <c r="D58" s="142"/>
    </row>
    <row r="59" spans="1:15" s="23" customFormat="1" ht="20.25" x14ac:dyDescent="0.25">
      <c r="A59" s="87"/>
      <c r="C59" s="142"/>
      <c r="D59" s="142"/>
    </row>
    <row r="60" spans="1:15" s="23" customFormat="1" ht="20.25" x14ac:dyDescent="0.25">
      <c r="A60" s="87"/>
      <c r="C60" s="142"/>
      <c r="D60" s="142"/>
    </row>
    <row r="61" spans="1:15" s="23" customFormat="1" ht="20.25" x14ac:dyDescent="0.25">
      <c r="A61" s="87"/>
      <c r="C61" s="142"/>
      <c r="D61" s="142"/>
    </row>
    <row r="62" spans="1:15" s="23" customFormat="1" ht="20.25" x14ac:dyDescent="0.25">
      <c r="A62" s="87"/>
      <c r="C62" s="142"/>
      <c r="D62" s="142"/>
    </row>
    <row r="63" spans="1:15" s="23" customFormat="1" ht="20.25" x14ac:dyDescent="0.25">
      <c r="A63" s="87"/>
      <c r="C63" s="142"/>
      <c r="D63" s="142"/>
    </row>
    <row r="64" spans="1:15" s="23" customFormat="1" ht="20.25" x14ac:dyDescent="0.25">
      <c r="A64" s="87"/>
      <c r="C64" s="142"/>
      <c r="D64" s="142"/>
    </row>
    <row r="65" spans="1:4" s="23" customFormat="1" ht="20.25" x14ac:dyDescent="0.25">
      <c r="A65" s="87"/>
      <c r="C65" s="142"/>
      <c r="D65" s="142"/>
    </row>
    <row r="66" spans="1:4" s="23" customFormat="1" ht="20.25" x14ac:dyDescent="0.25">
      <c r="A66" s="87"/>
      <c r="C66" s="142"/>
      <c r="D66" s="142"/>
    </row>
    <row r="67" spans="1:4" s="23" customFormat="1" ht="20.25" x14ac:dyDescent="0.25">
      <c r="A67" s="87"/>
      <c r="C67" s="142"/>
      <c r="D67" s="142"/>
    </row>
    <row r="68" spans="1:4" s="23" customFormat="1" ht="20.25" x14ac:dyDescent="0.25">
      <c r="A68" s="87"/>
      <c r="C68" s="142"/>
      <c r="D68" s="142"/>
    </row>
    <row r="69" spans="1:4" s="23" customFormat="1" ht="20.25" x14ac:dyDescent="0.25">
      <c r="A69" s="87"/>
      <c r="C69" s="142"/>
      <c r="D69" s="142"/>
    </row>
    <row r="70" spans="1:4" s="23" customFormat="1" ht="20.25" x14ac:dyDescent="0.25">
      <c r="A70" s="87"/>
      <c r="C70" s="142"/>
      <c r="D70" s="142"/>
    </row>
    <row r="71" spans="1:4" s="23" customFormat="1" ht="20.25" x14ac:dyDescent="0.25">
      <c r="A71" s="87"/>
      <c r="C71" s="142"/>
      <c r="D71" s="142"/>
    </row>
    <row r="72" spans="1:4" s="23" customFormat="1" ht="20.25" x14ac:dyDescent="0.25">
      <c r="A72" s="87"/>
      <c r="C72" s="142"/>
      <c r="D72" s="142"/>
    </row>
    <row r="73" spans="1:4" s="23" customFormat="1" ht="20.25" x14ac:dyDescent="0.25">
      <c r="A73" s="87"/>
      <c r="C73" s="142"/>
      <c r="D73" s="142"/>
    </row>
    <row r="74" spans="1:4" s="23" customFormat="1" ht="20.25" x14ac:dyDescent="0.25">
      <c r="A74" s="87"/>
      <c r="C74" s="142"/>
      <c r="D74" s="142"/>
    </row>
    <row r="75" spans="1:4" s="23" customFormat="1" ht="20.25" x14ac:dyDescent="0.25">
      <c r="A75" s="87"/>
      <c r="C75" s="142"/>
      <c r="D75" s="142"/>
    </row>
    <row r="76" spans="1:4" s="23" customFormat="1" ht="20.25" x14ac:dyDescent="0.25">
      <c r="A76" s="87"/>
      <c r="C76" s="142"/>
      <c r="D76" s="142"/>
    </row>
    <row r="77" spans="1:4" s="23" customFormat="1" ht="20.25" x14ac:dyDescent="0.25">
      <c r="A77" s="87"/>
      <c r="C77" s="142"/>
      <c r="D77" s="142"/>
    </row>
    <row r="78" spans="1:4" s="23" customFormat="1" ht="20.25" x14ac:dyDescent="0.25">
      <c r="A78" s="87"/>
      <c r="C78" s="142"/>
      <c r="D78" s="142"/>
    </row>
    <row r="79" spans="1:4" s="23" customFormat="1" ht="20.25" x14ac:dyDescent="0.25">
      <c r="A79" s="87"/>
      <c r="C79" s="142"/>
      <c r="D79" s="142"/>
    </row>
    <row r="80" spans="1:4" s="23" customFormat="1" ht="20.25" x14ac:dyDescent="0.25">
      <c r="A80" s="87"/>
      <c r="C80" s="142"/>
      <c r="D80" s="142"/>
    </row>
    <row r="81" spans="1:4" s="23" customFormat="1" ht="20.25" x14ac:dyDescent="0.25">
      <c r="A81" s="87"/>
      <c r="C81" s="142"/>
      <c r="D81" s="142"/>
    </row>
    <row r="82" spans="1:4" s="23" customFormat="1" ht="20.25" x14ac:dyDescent="0.25">
      <c r="A82" s="87"/>
      <c r="C82" s="142"/>
      <c r="D82" s="142"/>
    </row>
    <row r="83" spans="1:4" s="23" customFormat="1" ht="20.25" x14ac:dyDescent="0.25">
      <c r="A83" s="87"/>
      <c r="C83" s="142"/>
      <c r="D83" s="142"/>
    </row>
    <row r="84" spans="1:4" s="23" customFormat="1" ht="20.25" x14ac:dyDescent="0.25">
      <c r="A84" s="87"/>
      <c r="C84" s="142"/>
      <c r="D84" s="142"/>
    </row>
    <row r="85" spans="1:4" s="23" customFormat="1" ht="20.25" x14ac:dyDescent="0.25">
      <c r="A85" s="87"/>
      <c r="C85" s="142"/>
      <c r="D85" s="142"/>
    </row>
    <row r="86" spans="1:4" s="23" customFormat="1" ht="20.25" x14ac:dyDescent="0.25">
      <c r="A86" s="87"/>
      <c r="C86" s="142"/>
      <c r="D86" s="142"/>
    </row>
    <row r="87" spans="1:4" s="23" customFormat="1" ht="20.25" x14ac:dyDescent="0.25">
      <c r="A87" s="87"/>
      <c r="C87" s="142"/>
      <c r="D87" s="142"/>
    </row>
    <row r="88" spans="1:4" s="23" customFormat="1" ht="20.25" x14ac:dyDescent="0.25">
      <c r="A88" s="87"/>
      <c r="C88" s="142"/>
      <c r="D88" s="142"/>
    </row>
    <row r="89" spans="1:4" s="23" customFormat="1" ht="20.25" x14ac:dyDescent="0.25">
      <c r="A89" s="87"/>
      <c r="C89" s="142"/>
      <c r="D89" s="142"/>
    </row>
    <row r="90" spans="1:4" s="23" customFormat="1" ht="20.25" x14ac:dyDescent="0.25">
      <c r="A90" s="87"/>
      <c r="C90" s="142"/>
      <c r="D90" s="142"/>
    </row>
    <row r="91" spans="1:4" s="23" customFormat="1" ht="20.25" x14ac:dyDescent="0.25">
      <c r="A91" s="87"/>
      <c r="C91" s="142"/>
      <c r="D91" s="142"/>
    </row>
    <row r="92" spans="1:4" s="23" customFormat="1" ht="20.25" x14ac:dyDescent="0.25">
      <c r="A92" s="87"/>
      <c r="C92" s="142"/>
      <c r="D92" s="142"/>
    </row>
    <row r="93" spans="1:4" s="23" customFormat="1" ht="20.25" x14ac:dyDescent="0.25">
      <c r="A93" s="87"/>
      <c r="C93" s="142"/>
      <c r="D93" s="142"/>
    </row>
    <row r="94" spans="1:4" s="23" customFormat="1" ht="20.25" x14ac:dyDescent="0.25">
      <c r="A94" s="87"/>
      <c r="C94" s="142"/>
      <c r="D94" s="142"/>
    </row>
    <row r="95" spans="1:4" s="23" customFormat="1" ht="20.25" x14ac:dyDescent="0.25">
      <c r="A95" s="87"/>
      <c r="C95" s="142"/>
      <c r="D95" s="142"/>
    </row>
    <row r="96" spans="1:4" s="23" customFormat="1" ht="20.25" x14ac:dyDescent="0.25">
      <c r="A96" s="87"/>
      <c r="C96" s="142"/>
      <c r="D96" s="142"/>
    </row>
    <row r="97" spans="1:4" s="23" customFormat="1" ht="20.25" x14ac:dyDescent="0.25">
      <c r="A97" s="87"/>
      <c r="C97" s="142"/>
      <c r="D97" s="142"/>
    </row>
    <row r="98" spans="1:4" s="23" customFormat="1" ht="20.25" x14ac:dyDescent="0.25">
      <c r="A98" s="87"/>
      <c r="C98" s="142"/>
      <c r="D98" s="142"/>
    </row>
    <row r="99" spans="1:4" s="23" customFormat="1" ht="20.25" x14ac:dyDescent="0.25">
      <c r="A99" s="87"/>
      <c r="C99" s="142"/>
      <c r="D99" s="142"/>
    </row>
    <row r="100" spans="1:4" s="23" customFormat="1" ht="20.25" x14ac:dyDescent="0.25">
      <c r="A100" s="87"/>
      <c r="C100" s="142"/>
      <c r="D100" s="142"/>
    </row>
    <row r="101" spans="1:4" s="23" customFormat="1" ht="20.25" x14ac:dyDescent="0.25">
      <c r="A101" s="87"/>
      <c r="C101" s="142"/>
      <c r="D101" s="142"/>
    </row>
    <row r="102" spans="1:4" s="23" customFormat="1" ht="20.25" x14ac:dyDescent="0.25">
      <c r="A102" s="87"/>
      <c r="C102" s="142"/>
      <c r="D102" s="142"/>
    </row>
    <row r="103" spans="1:4" s="23" customFormat="1" ht="20.25" x14ac:dyDescent="0.25">
      <c r="A103" s="87"/>
      <c r="C103" s="142"/>
      <c r="D103" s="142"/>
    </row>
    <row r="104" spans="1:4" s="23" customFormat="1" ht="20.25" x14ac:dyDescent="0.25">
      <c r="A104" s="87"/>
      <c r="C104" s="142"/>
      <c r="D104" s="142"/>
    </row>
    <row r="105" spans="1:4" s="23" customFormat="1" ht="20.25" x14ac:dyDescent="0.25">
      <c r="A105" s="87"/>
      <c r="C105" s="142"/>
      <c r="D105" s="142"/>
    </row>
    <row r="106" spans="1:4" s="23" customFormat="1" ht="20.25" x14ac:dyDescent="0.25">
      <c r="A106" s="87"/>
      <c r="C106" s="142"/>
      <c r="D106" s="142"/>
    </row>
    <row r="107" spans="1:4" s="23" customFormat="1" ht="20.25" x14ac:dyDescent="0.25">
      <c r="A107" s="87"/>
      <c r="C107" s="142"/>
      <c r="D107" s="142"/>
    </row>
    <row r="108" spans="1:4" s="23" customFormat="1" ht="20.25" x14ac:dyDescent="0.25">
      <c r="A108" s="87"/>
      <c r="C108" s="142"/>
      <c r="D108" s="142"/>
    </row>
    <row r="109" spans="1:4" s="23" customFormat="1" ht="20.25" x14ac:dyDescent="0.25">
      <c r="A109" s="87"/>
      <c r="C109" s="142"/>
      <c r="D109" s="142"/>
    </row>
    <row r="110" spans="1:4" s="23" customFormat="1" ht="20.25" x14ac:dyDescent="0.25">
      <c r="A110" s="87"/>
      <c r="C110" s="142"/>
      <c r="D110" s="142"/>
    </row>
    <row r="111" spans="1:4" s="23" customFormat="1" ht="20.25" x14ac:dyDescent="0.25">
      <c r="A111" s="87"/>
      <c r="C111" s="142"/>
      <c r="D111" s="142"/>
    </row>
    <row r="112" spans="1:4" s="23" customFormat="1" ht="20.25" x14ac:dyDescent="0.25">
      <c r="A112" s="87"/>
      <c r="C112" s="142"/>
      <c r="D112" s="142"/>
    </row>
    <row r="113" spans="1:4" s="23" customFormat="1" ht="20.25" x14ac:dyDescent="0.25">
      <c r="A113" s="87"/>
      <c r="C113" s="142"/>
      <c r="D113" s="142"/>
    </row>
    <row r="114" spans="1:4" s="23" customFormat="1" ht="20.25" x14ac:dyDescent="0.25">
      <c r="A114" s="87"/>
      <c r="C114" s="142"/>
      <c r="D114" s="142"/>
    </row>
    <row r="115" spans="1:4" s="23" customFormat="1" ht="20.25" x14ac:dyDescent="0.25">
      <c r="A115" s="87"/>
      <c r="C115" s="142"/>
      <c r="D115" s="142"/>
    </row>
    <row r="116" spans="1:4" s="23" customFormat="1" ht="20.25" x14ac:dyDescent="0.25">
      <c r="A116" s="87"/>
      <c r="C116" s="142"/>
      <c r="D116" s="142"/>
    </row>
    <row r="117" spans="1:4" s="23" customFormat="1" ht="20.25" x14ac:dyDescent="0.25">
      <c r="A117" s="87"/>
      <c r="C117" s="142"/>
      <c r="D117" s="142"/>
    </row>
    <row r="118" spans="1:4" s="23" customFormat="1" ht="20.25" x14ac:dyDescent="0.25">
      <c r="A118" s="87"/>
      <c r="C118" s="142"/>
      <c r="D118" s="142"/>
    </row>
    <row r="119" spans="1:4" s="23" customFormat="1" ht="20.25" x14ac:dyDescent="0.25">
      <c r="A119" s="87"/>
      <c r="C119" s="142"/>
      <c r="D119" s="142"/>
    </row>
    <row r="120" spans="1:4" s="23" customFormat="1" ht="20.25" x14ac:dyDescent="0.25">
      <c r="A120" s="87"/>
      <c r="C120" s="142"/>
      <c r="D120" s="142"/>
    </row>
    <row r="121" spans="1:4" s="23" customFormat="1" ht="20.25" x14ac:dyDescent="0.25">
      <c r="A121" s="87"/>
      <c r="C121" s="142"/>
      <c r="D121" s="142"/>
    </row>
    <row r="122" spans="1:4" s="23" customFormat="1" ht="20.25" x14ac:dyDescent="0.25">
      <c r="A122" s="87"/>
      <c r="C122" s="142"/>
      <c r="D122" s="142"/>
    </row>
    <row r="123" spans="1:4" s="23" customFormat="1" ht="20.25" x14ac:dyDescent="0.25">
      <c r="A123" s="87"/>
      <c r="C123" s="142"/>
      <c r="D123" s="142"/>
    </row>
    <row r="124" spans="1:4" s="23" customFormat="1" ht="20.25" x14ac:dyDescent="0.25">
      <c r="A124" s="87"/>
      <c r="C124" s="142"/>
      <c r="D124" s="142"/>
    </row>
    <row r="125" spans="1:4" s="23" customFormat="1" ht="20.25" x14ac:dyDescent="0.25">
      <c r="A125" s="87"/>
      <c r="C125" s="142"/>
      <c r="D125" s="142"/>
    </row>
    <row r="126" spans="1:4" s="23" customFormat="1" ht="20.25" x14ac:dyDescent="0.25">
      <c r="A126" s="87"/>
      <c r="C126" s="142"/>
      <c r="D126" s="142"/>
    </row>
    <row r="127" spans="1:4" s="23" customFormat="1" ht="20.25" x14ac:dyDescent="0.25">
      <c r="A127" s="87"/>
      <c r="C127" s="142"/>
      <c r="D127" s="142"/>
    </row>
    <row r="128" spans="1:4" s="23" customFormat="1" ht="20.25" x14ac:dyDescent="0.25">
      <c r="A128" s="87"/>
      <c r="C128" s="142"/>
      <c r="D128" s="142"/>
    </row>
    <row r="129" spans="1:4" s="23" customFormat="1" ht="20.25" x14ac:dyDescent="0.25">
      <c r="A129" s="87"/>
      <c r="C129" s="142"/>
      <c r="D129" s="142"/>
    </row>
    <row r="130" spans="1:4" s="23" customFormat="1" ht="20.25" x14ac:dyDescent="0.25">
      <c r="A130" s="87"/>
      <c r="C130" s="142"/>
      <c r="D130" s="142"/>
    </row>
    <row r="131" spans="1:4" s="23" customFormat="1" ht="20.25" x14ac:dyDescent="0.25">
      <c r="A131" s="87"/>
      <c r="C131" s="142"/>
      <c r="D131" s="142"/>
    </row>
    <row r="132" spans="1:4" s="23" customFormat="1" ht="20.25" x14ac:dyDescent="0.25">
      <c r="A132" s="87"/>
      <c r="C132" s="142"/>
      <c r="D132" s="142"/>
    </row>
    <row r="133" spans="1:4" s="23" customFormat="1" ht="20.25" x14ac:dyDescent="0.25">
      <c r="A133" s="87"/>
      <c r="C133" s="142"/>
      <c r="D133" s="142"/>
    </row>
    <row r="134" spans="1:4" s="23" customFormat="1" ht="20.25" x14ac:dyDescent="0.25">
      <c r="A134" s="87"/>
      <c r="C134" s="142"/>
      <c r="D134" s="142"/>
    </row>
    <row r="135" spans="1:4" s="23" customFormat="1" ht="20.25" x14ac:dyDescent="0.25">
      <c r="A135" s="87"/>
      <c r="C135" s="142"/>
      <c r="D135" s="142"/>
    </row>
    <row r="136" spans="1:4" s="23" customFormat="1" ht="20.25" x14ac:dyDescent="0.25">
      <c r="A136" s="87"/>
      <c r="C136" s="142"/>
      <c r="D136" s="142"/>
    </row>
    <row r="137" spans="1:4" s="23" customFormat="1" ht="20.25" x14ac:dyDescent="0.25">
      <c r="A137" s="87"/>
      <c r="C137" s="142"/>
      <c r="D137" s="142"/>
    </row>
    <row r="138" spans="1:4" s="23" customFormat="1" ht="20.25" x14ac:dyDescent="0.25">
      <c r="A138" s="87"/>
      <c r="C138" s="142"/>
      <c r="D138" s="142"/>
    </row>
    <row r="139" spans="1:4" s="23" customFormat="1" ht="20.25" x14ac:dyDescent="0.25">
      <c r="A139" s="87"/>
      <c r="C139" s="142"/>
      <c r="D139" s="142"/>
    </row>
    <row r="140" spans="1:4" s="23" customFormat="1" ht="20.25" x14ac:dyDescent="0.25">
      <c r="A140" s="87"/>
      <c r="C140" s="142"/>
      <c r="D140" s="142"/>
    </row>
    <row r="141" spans="1:4" s="23" customFormat="1" ht="20.25" x14ac:dyDescent="0.25">
      <c r="A141" s="87"/>
      <c r="C141" s="142"/>
      <c r="D141" s="142"/>
    </row>
    <row r="142" spans="1:4" s="23" customFormat="1" ht="20.25" x14ac:dyDescent="0.25">
      <c r="A142" s="87"/>
      <c r="C142" s="142"/>
      <c r="D142" s="142"/>
    </row>
    <row r="143" spans="1:4" s="23" customFormat="1" ht="20.25" x14ac:dyDescent="0.25">
      <c r="A143" s="87"/>
      <c r="C143" s="142"/>
      <c r="D143" s="142"/>
    </row>
    <row r="144" spans="1:4" s="23" customFormat="1" ht="20.25" x14ac:dyDescent="0.25">
      <c r="A144" s="87"/>
      <c r="C144" s="142"/>
      <c r="D144" s="142"/>
    </row>
    <row r="145" spans="1:4" s="23" customFormat="1" ht="20.25" x14ac:dyDescent="0.25">
      <c r="A145" s="87"/>
      <c r="C145" s="142"/>
      <c r="D145" s="142"/>
    </row>
    <row r="146" spans="1:4" s="23" customFormat="1" ht="20.25" x14ac:dyDescent="0.25">
      <c r="A146" s="87"/>
      <c r="C146" s="142"/>
      <c r="D146" s="142"/>
    </row>
    <row r="147" spans="1:4" s="23" customFormat="1" ht="20.25" x14ac:dyDescent="0.25">
      <c r="A147" s="87"/>
      <c r="C147" s="142"/>
      <c r="D147" s="142"/>
    </row>
    <row r="148" spans="1:4" s="23" customFormat="1" ht="20.25" x14ac:dyDescent="0.25">
      <c r="A148" s="87"/>
      <c r="C148" s="142"/>
      <c r="D148" s="142"/>
    </row>
    <row r="149" spans="1:4" s="23" customFormat="1" ht="20.25" x14ac:dyDescent="0.25">
      <c r="A149" s="87"/>
      <c r="C149" s="142"/>
      <c r="D149" s="142"/>
    </row>
    <row r="150" spans="1:4" s="23" customFormat="1" ht="20.25" x14ac:dyDescent="0.25">
      <c r="A150" s="87"/>
      <c r="C150" s="142"/>
      <c r="D150" s="142"/>
    </row>
    <row r="151" spans="1:4" s="23" customFormat="1" ht="20.25" x14ac:dyDescent="0.25">
      <c r="A151" s="87"/>
      <c r="C151" s="142"/>
      <c r="D151" s="142"/>
    </row>
    <row r="152" spans="1:4" s="23" customFormat="1" ht="20.25" x14ac:dyDescent="0.25">
      <c r="A152" s="87"/>
      <c r="C152" s="142"/>
      <c r="D152" s="142"/>
    </row>
    <row r="153" spans="1:4" s="23" customFormat="1" ht="20.25" x14ac:dyDescent="0.25">
      <c r="A153" s="87"/>
      <c r="C153" s="142"/>
      <c r="D153" s="142"/>
    </row>
    <row r="154" spans="1:4" s="23" customFormat="1" ht="20.25" x14ac:dyDescent="0.25">
      <c r="A154" s="87"/>
      <c r="C154" s="142"/>
      <c r="D154" s="142"/>
    </row>
    <row r="155" spans="1:4" s="23" customFormat="1" ht="20.25" x14ac:dyDescent="0.25">
      <c r="A155" s="87"/>
      <c r="C155" s="142"/>
      <c r="D155" s="142"/>
    </row>
    <row r="156" spans="1:4" s="23" customFormat="1" ht="20.25" x14ac:dyDescent="0.25">
      <c r="A156" s="87"/>
      <c r="C156" s="142"/>
      <c r="D156" s="142"/>
    </row>
    <row r="157" spans="1:4" s="23" customFormat="1" ht="20.25" x14ac:dyDescent="0.25">
      <c r="A157" s="87"/>
      <c r="C157" s="142"/>
      <c r="D157" s="142"/>
    </row>
    <row r="158" spans="1:4" s="23" customFormat="1" ht="20.25" x14ac:dyDescent="0.25">
      <c r="A158" s="87"/>
      <c r="C158" s="142"/>
      <c r="D158" s="142"/>
    </row>
    <row r="159" spans="1:4" s="23" customFormat="1" ht="20.25" x14ac:dyDescent="0.25">
      <c r="A159" s="87"/>
      <c r="C159" s="142"/>
      <c r="D159" s="142"/>
    </row>
    <row r="160" spans="1:4" s="23" customFormat="1" ht="20.25" x14ac:dyDescent="0.25">
      <c r="A160" s="87"/>
      <c r="C160" s="142"/>
      <c r="D160" s="142"/>
    </row>
    <row r="161" spans="1:4" s="23" customFormat="1" ht="20.25" x14ac:dyDescent="0.25">
      <c r="A161" s="87"/>
      <c r="C161" s="142"/>
      <c r="D161" s="142"/>
    </row>
    <row r="162" spans="1:4" s="23" customFormat="1" ht="20.25" x14ac:dyDescent="0.25">
      <c r="A162" s="87"/>
      <c r="C162" s="142"/>
      <c r="D162" s="142"/>
    </row>
    <row r="163" spans="1:4" s="23" customFormat="1" ht="20.25" x14ac:dyDescent="0.25">
      <c r="A163" s="87"/>
      <c r="C163" s="142"/>
      <c r="D163" s="142"/>
    </row>
    <row r="164" spans="1:4" s="23" customFormat="1" ht="20.25" x14ac:dyDescent="0.25">
      <c r="A164" s="87"/>
      <c r="C164" s="142"/>
      <c r="D164" s="142"/>
    </row>
    <row r="165" spans="1:4" s="23" customFormat="1" ht="20.25" x14ac:dyDescent="0.25">
      <c r="A165" s="87"/>
      <c r="C165" s="142"/>
      <c r="D165" s="142"/>
    </row>
    <row r="166" spans="1:4" s="23" customFormat="1" ht="20.25" x14ac:dyDescent="0.25">
      <c r="A166" s="87"/>
      <c r="C166" s="142"/>
      <c r="D166" s="142"/>
    </row>
    <row r="167" spans="1:4" s="23" customFormat="1" ht="20.25" x14ac:dyDescent="0.25">
      <c r="A167" s="87"/>
      <c r="C167" s="142"/>
      <c r="D167" s="142"/>
    </row>
    <row r="168" spans="1:4" s="23" customFormat="1" ht="20.25" x14ac:dyDescent="0.25">
      <c r="A168" s="87"/>
      <c r="C168" s="142"/>
      <c r="D168" s="142"/>
    </row>
    <row r="169" spans="1:4" s="23" customFormat="1" ht="20.25" x14ac:dyDescent="0.25">
      <c r="A169" s="87"/>
      <c r="C169" s="142"/>
      <c r="D169" s="142"/>
    </row>
    <row r="170" spans="1:4" s="23" customFormat="1" ht="20.25" x14ac:dyDescent="0.25">
      <c r="A170" s="87"/>
      <c r="C170" s="142"/>
      <c r="D170" s="142"/>
    </row>
    <row r="171" spans="1:4" s="23" customFormat="1" ht="20.25" x14ac:dyDescent="0.25">
      <c r="A171" s="87"/>
      <c r="C171" s="142"/>
      <c r="D171" s="142"/>
    </row>
    <row r="172" spans="1:4" s="23" customFormat="1" ht="20.25" x14ac:dyDescent="0.25">
      <c r="A172" s="87"/>
      <c r="C172" s="142"/>
      <c r="D172" s="142"/>
    </row>
    <row r="173" spans="1:4" s="23" customFormat="1" ht="20.25" x14ac:dyDescent="0.25">
      <c r="A173" s="87"/>
      <c r="C173" s="142"/>
      <c r="D173" s="142"/>
    </row>
    <row r="174" spans="1:4" s="23" customFormat="1" ht="20.25" x14ac:dyDescent="0.25">
      <c r="A174" s="87"/>
      <c r="C174" s="142"/>
      <c r="D174" s="142"/>
    </row>
    <row r="175" spans="1:4" s="23" customFormat="1" ht="20.25" x14ac:dyDescent="0.25">
      <c r="A175" s="87"/>
      <c r="C175" s="142"/>
      <c r="D175" s="142"/>
    </row>
    <row r="176" spans="1:4" s="23" customFormat="1" ht="20.25" x14ac:dyDescent="0.25">
      <c r="A176" s="87"/>
      <c r="C176" s="142"/>
      <c r="D176" s="142"/>
    </row>
    <row r="177" spans="1:4" s="23" customFormat="1" ht="20.25" x14ac:dyDescent="0.25">
      <c r="A177" s="87"/>
      <c r="C177" s="142"/>
      <c r="D177" s="142"/>
    </row>
    <row r="178" spans="1:4" s="23" customFormat="1" ht="20.25" x14ac:dyDescent="0.25">
      <c r="A178" s="87"/>
      <c r="C178" s="142"/>
      <c r="D178" s="142"/>
    </row>
    <row r="179" spans="1:4" s="23" customFormat="1" ht="20.25" x14ac:dyDescent="0.25">
      <c r="A179" s="87"/>
      <c r="C179" s="142"/>
      <c r="D179" s="142"/>
    </row>
    <row r="180" spans="1:4" s="23" customFormat="1" ht="20.25" x14ac:dyDescent="0.25">
      <c r="A180" s="87"/>
      <c r="C180" s="142"/>
      <c r="D180" s="142"/>
    </row>
    <row r="181" spans="1:4" s="23" customFormat="1" ht="20.25" x14ac:dyDescent="0.25">
      <c r="A181" s="87"/>
      <c r="C181" s="142"/>
      <c r="D181" s="142"/>
    </row>
    <row r="182" spans="1:4" s="23" customFormat="1" ht="20.25" x14ac:dyDescent="0.25">
      <c r="A182" s="87"/>
      <c r="C182" s="142"/>
      <c r="D182" s="142"/>
    </row>
    <row r="183" spans="1:4" s="23" customFormat="1" ht="20.25" x14ac:dyDescent="0.25">
      <c r="A183" s="87"/>
      <c r="C183" s="142"/>
      <c r="D183" s="142"/>
    </row>
    <row r="184" spans="1:4" s="23" customFormat="1" ht="20.25" x14ac:dyDescent="0.25">
      <c r="A184" s="87"/>
      <c r="C184" s="142"/>
      <c r="D184" s="142"/>
    </row>
    <row r="185" spans="1:4" s="23" customFormat="1" ht="20.25" x14ac:dyDescent="0.25">
      <c r="A185" s="87"/>
      <c r="C185" s="142"/>
      <c r="D185" s="142"/>
    </row>
    <row r="186" spans="1:4" s="23" customFormat="1" ht="20.25" x14ac:dyDescent="0.25">
      <c r="A186" s="87"/>
      <c r="C186" s="142"/>
      <c r="D186" s="142"/>
    </row>
    <row r="187" spans="1:4" s="23" customFormat="1" ht="20.25" x14ac:dyDescent="0.25">
      <c r="A187" s="87"/>
      <c r="C187" s="142"/>
      <c r="D187" s="142"/>
    </row>
    <row r="188" spans="1:4" s="23" customFormat="1" ht="20.25" x14ac:dyDescent="0.25">
      <c r="A188" s="87"/>
      <c r="C188" s="142"/>
      <c r="D188" s="142"/>
    </row>
    <row r="189" spans="1:4" s="23" customFormat="1" ht="20.25" x14ac:dyDescent="0.25">
      <c r="A189" s="87"/>
      <c r="C189" s="142"/>
      <c r="D189" s="142"/>
    </row>
    <row r="190" spans="1:4" s="23" customFormat="1" ht="20.25" x14ac:dyDescent="0.25">
      <c r="A190" s="87"/>
      <c r="C190" s="142"/>
      <c r="D190" s="142"/>
    </row>
    <row r="191" spans="1:4" s="23" customFormat="1" ht="20.25" x14ac:dyDescent="0.25">
      <c r="A191" s="87"/>
      <c r="C191" s="142"/>
      <c r="D191" s="142"/>
    </row>
    <row r="192" spans="1:4" s="23" customFormat="1" ht="20.25" x14ac:dyDescent="0.25">
      <c r="A192" s="87"/>
      <c r="C192" s="142"/>
      <c r="D192" s="142"/>
    </row>
    <row r="193" spans="1:4" s="23" customFormat="1" ht="20.25" x14ac:dyDescent="0.25">
      <c r="A193" s="87"/>
      <c r="C193" s="142"/>
      <c r="D193" s="142"/>
    </row>
    <row r="194" spans="1:4" s="23" customFormat="1" ht="20.25" x14ac:dyDescent="0.25">
      <c r="A194" s="87"/>
      <c r="C194" s="142"/>
      <c r="D194" s="142"/>
    </row>
    <row r="195" spans="1:4" s="23" customFormat="1" ht="20.25" x14ac:dyDescent="0.25">
      <c r="A195" s="87"/>
      <c r="C195" s="142"/>
      <c r="D195" s="142"/>
    </row>
    <row r="196" spans="1:4" s="23" customFormat="1" ht="20.25" x14ac:dyDescent="0.25">
      <c r="A196" s="87"/>
      <c r="C196" s="142"/>
      <c r="D196" s="142"/>
    </row>
    <row r="197" spans="1:4" s="23" customFormat="1" ht="20.25" x14ac:dyDescent="0.25">
      <c r="A197" s="87"/>
      <c r="C197" s="142"/>
      <c r="D197" s="142"/>
    </row>
    <row r="198" spans="1:4" s="23" customFormat="1" ht="20.25" x14ac:dyDescent="0.25">
      <c r="A198" s="87"/>
      <c r="C198" s="142"/>
      <c r="D198" s="142"/>
    </row>
    <row r="199" spans="1:4" s="23" customFormat="1" ht="20.25" x14ac:dyDescent="0.25">
      <c r="A199" s="87"/>
      <c r="C199" s="142"/>
      <c r="D199" s="142"/>
    </row>
    <row r="200" spans="1:4" s="23" customFormat="1" ht="20.25" x14ac:dyDescent="0.25">
      <c r="A200" s="87"/>
      <c r="C200" s="142"/>
      <c r="D200" s="142"/>
    </row>
    <row r="201" spans="1:4" s="23" customFormat="1" ht="20.25" x14ac:dyDescent="0.25">
      <c r="A201" s="87"/>
      <c r="C201" s="142"/>
      <c r="D201" s="142"/>
    </row>
    <row r="202" spans="1:4" s="23" customFormat="1" ht="20.25" x14ac:dyDescent="0.25">
      <c r="A202" s="87"/>
      <c r="C202" s="142"/>
      <c r="D202" s="142"/>
    </row>
    <row r="203" spans="1:4" s="23" customFormat="1" ht="20.25" x14ac:dyDescent="0.25">
      <c r="A203" s="87"/>
      <c r="C203" s="142"/>
      <c r="D203" s="142"/>
    </row>
    <row r="204" spans="1:4" s="23" customFormat="1" ht="20.25" x14ac:dyDescent="0.25">
      <c r="A204" s="87"/>
      <c r="C204" s="142"/>
      <c r="D204" s="142"/>
    </row>
    <row r="205" spans="1:4" s="23" customFormat="1" ht="20.25" x14ac:dyDescent="0.25">
      <c r="A205" s="87"/>
      <c r="C205" s="142"/>
      <c r="D205" s="142"/>
    </row>
    <row r="206" spans="1:4" s="23" customFormat="1" ht="20.25" x14ac:dyDescent="0.25">
      <c r="A206" s="87"/>
      <c r="C206" s="142"/>
      <c r="D206" s="142"/>
    </row>
    <row r="207" spans="1:4" s="23" customFormat="1" ht="20.25" x14ac:dyDescent="0.25">
      <c r="A207" s="87"/>
      <c r="C207" s="142"/>
      <c r="D207" s="142"/>
    </row>
    <row r="208" spans="1:4" s="23" customFormat="1" x14ac:dyDescent="0.25">
      <c r="A208" s="87"/>
    </row>
    <row r="209" spans="1:8" s="23" customFormat="1" ht="20.25" x14ac:dyDescent="0.25">
      <c r="A209" s="87"/>
      <c r="B209" s="143" t="s">
        <v>87</v>
      </c>
      <c r="C209" s="143" t="s">
        <v>140</v>
      </c>
      <c r="D209" s="144" t="s">
        <v>87</v>
      </c>
      <c r="E209" s="144" t="s">
        <v>140</v>
      </c>
    </row>
    <row r="210" spans="1:8" s="23" customFormat="1" ht="42" x14ac:dyDescent="0.35">
      <c r="A210" s="87"/>
      <c r="B210" s="145" t="s">
        <v>89</v>
      </c>
      <c r="C210" s="145"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7"/>
      <c r="B211" s="145" t="s">
        <v>89</v>
      </c>
      <c r="C211" s="145" t="s">
        <v>206</v>
      </c>
      <c r="E211" s="23" t="s">
        <v>205</v>
      </c>
      <c r="F211" s="23" t="str">
        <f t="shared" ref="F211:F221" si="0">IF(NOT(ISBLANK(D211)),D211,IF(NOT(ISBLANK(E211)),"     "&amp;E211,FALSE))</f>
        <v xml:space="preserve">     Afectación menor a 200 SMLMV</v>
      </c>
    </row>
    <row r="212" spans="1:8" s="23" customFormat="1" ht="42" x14ac:dyDescent="0.35">
      <c r="A212" s="87"/>
      <c r="B212" s="145" t="s">
        <v>89</v>
      </c>
      <c r="C212" s="145" t="s">
        <v>210</v>
      </c>
      <c r="E212" s="23" t="s">
        <v>206</v>
      </c>
      <c r="F212" s="23" t="str">
        <f t="shared" si="0"/>
        <v xml:space="preserve">     Entre 200 y 1000 SMLMV</v>
      </c>
    </row>
    <row r="213" spans="1:8" s="23" customFormat="1" ht="42" x14ac:dyDescent="0.35">
      <c r="A213" s="87"/>
      <c r="B213" s="145" t="s">
        <v>89</v>
      </c>
      <c r="C213" s="145" t="s">
        <v>211</v>
      </c>
      <c r="E213" s="23" t="s">
        <v>210</v>
      </c>
      <c r="F213" s="23" t="str">
        <f t="shared" si="0"/>
        <v xml:space="preserve">     Entre 1000 y 5000 SMLMV </v>
      </c>
    </row>
    <row r="214" spans="1:8" s="23" customFormat="1" ht="42" x14ac:dyDescent="0.35">
      <c r="A214" s="87"/>
      <c r="B214" s="145" t="s">
        <v>89</v>
      </c>
      <c r="C214" s="145" t="s">
        <v>207</v>
      </c>
      <c r="E214" s="23" t="s">
        <v>211</v>
      </c>
      <c r="F214" s="23" t="str">
        <f t="shared" si="0"/>
        <v xml:space="preserve">     Entre 5000 y 10000 SMLMV</v>
      </c>
    </row>
    <row r="215" spans="1:8" s="23" customFormat="1" ht="42" x14ac:dyDescent="0.35">
      <c r="A215" s="87"/>
      <c r="B215" s="145" t="s">
        <v>57</v>
      </c>
      <c r="C215" s="145" t="s">
        <v>92</v>
      </c>
      <c r="E215" s="23" t="s">
        <v>207</v>
      </c>
      <c r="F215" s="23" t="str">
        <f t="shared" si="0"/>
        <v xml:space="preserve">     Mayor a 10000 SMLMV</v>
      </c>
    </row>
    <row r="216" spans="1:8" s="23" customFormat="1" ht="63" x14ac:dyDescent="0.35">
      <c r="A216" s="87"/>
      <c r="B216" s="145" t="s">
        <v>57</v>
      </c>
      <c r="C216" s="145" t="s">
        <v>93</v>
      </c>
      <c r="D216" s="23" t="s">
        <v>57</v>
      </c>
      <c r="F216" s="23" t="str">
        <f t="shared" si="0"/>
        <v>Pérdida Reputacional</v>
      </c>
    </row>
    <row r="217" spans="1:8" s="23" customFormat="1" ht="42" x14ac:dyDescent="0.35">
      <c r="A217" s="87"/>
      <c r="B217" s="145" t="s">
        <v>57</v>
      </c>
      <c r="C217" s="145" t="s">
        <v>95</v>
      </c>
      <c r="E217" s="23" t="s">
        <v>92</v>
      </c>
      <c r="F217" s="23" t="str">
        <f>IF(NOT(ISBLANK(D217)),D217,IF(NOT(ISBLANK(E217)),"     "&amp;E217,FALSE))</f>
        <v xml:space="preserve">     El riesgo afecta la imagen de alguna área de la organización</v>
      </c>
    </row>
    <row r="218" spans="1:8" s="23" customFormat="1" ht="63" x14ac:dyDescent="0.35">
      <c r="A218" s="87"/>
      <c r="B218" s="145" t="s">
        <v>57</v>
      </c>
      <c r="C218" s="145"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45" t="s">
        <v>57</v>
      </c>
      <c r="C219" s="145"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46" t="s">
        <v>141</v>
      </c>
    </row>
    <row r="224" spans="1:8" s="23" customFormat="1" x14ac:dyDescent="0.25">
      <c r="F224" s="146"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31" t="s">
        <v>77</v>
      </c>
      <c r="C1" s="432"/>
      <c r="D1" s="432"/>
      <c r="E1" s="432"/>
      <c r="F1" s="433"/>
    </row>
    <row r="2" spans="2:6" ht="16.5" thickBot="1" x14ac:dyDescent="0.3">
      <c r="B2" s="73"/>
      <c r="C2" s="73"/>
      <c r="D2" s="73"/>
      <c r="E2" s="73"/>
      <c r="F2" s="73"/>
    </row>
    <row r="3" spans="2:6" ht="16.5" thickBot="1" x14ac:dyDescent="0.25">
      <c r="B3" s="435" t="s">
        <v>63</v>
      </c>
      <c r="C3" s="436"/>
      <c r="D3" s="436"/>
      <c r="E3" s="85" t="s">
        <v>64</v>
      </c>
      <c r="F3" s="86" t="s">
        <v>65</v>
      </c>
    </row>
    <row r="4" spans="2:6" ht="31.5" x14ac:dyDescent="0.2">
      <c r="B4" s="437" t="s">
        <v>66</v>
      </c>
      <c r="C4" s="439" t="s">
        <v>13</v>
      </c>
      <c r="D4" s="74" t="s">
        <v>14</v>
      </c>
      <c r="E4" s="75" t="s">
        <v>67</v>
      </c>
      <c r="F4" s="76">
        <v>0.25</v>
      </c>
    </row>
    <row r="5" spans="2:6" ht="47.25" x14ac:dyDescent="0.2">
      <c r="B5" s="438"/>
      <c r="C5" s="440"/>
      <c r="D5" s="77" t="s">
        <v>15</v>
      </c>
      <c r="E5" s="78" t="s">
        <v>68</v>
      </c>
      <c r="F5" s="79">
        <v>0.15</v>
      </c>
    </row>
    <row r="6" spans="2:6" ht="47.25" x14ac:dyDescent="0.2">
      <c r="B6" s="438"/>
      <c r="C6" s="440"/>
      <c r="D6" s="77" t="s">
        <v>16</v>
      </c>
      <c r="E6" s="78" t="s">
        <v>69</v>
      </c>
      <c r="F6" s="79">
        <v>0.1</v>
      </c>
    </row>
    <row r="7" spans="2:6" ht="63" x14ac:dyDescent="0.2">
      <c r="B7" s="438"/>
      <c r="C7" s="440" t="s">
        <v>17</v>
      </c>
      <c r="D7" s="77" t="s">
        <v>10</v>
      </c>
      <c r="E7" s="78" t="s">
        <v>70</v>
      </c>
      <c r="F7" s="79">
        <v>0.25</v>
      </c>
    </row>
    <row r="8" spans="2:6" ht="31.5" x14ac:dyDescent="0.2">
      <c r="B8" s="438"/>
      <c r="C8" s="440"/>
      <c r="D8" s="77" t="s">
        <v>9</v>
      </c>
      <c r="E8" s="78" t="s">
        <v>71</v>
      </c>
      <c r="F8" s="79">
        <v>0.15</v>
      </c>
    </row>
    <row r="9" spans="2:6" ht="47.25" x14ac:dyDescent="0.2">
      <c r="B9" s="438" t="s">
        <v>151</v>
      </c>
      <c r="C9" s="440" t="s">
        <v>18</v>
      </c>
      <c r="D9" s="77" t="s">
        <v>19</v>
      </c>
      <c r="E9" s="78" t="s">
        <v>72</v>
      </c>
      <c r="F9" s="80" t="s">
        <v>73</v>
      </c>
    </row>
    <row r="10" spans="2:6" ht="63" x14ac:dyDescent="0.2">
      <c r="B10" s="438"/>
      <c r="C10" s="440"/>
      <c r="D10" s="77" t="s">
        <v>20</v>
      </c>
      <c r="E10" s="78" t="s">
        <v>74</v>
      </c>
      <c r="F10" s="80" t="s">
        <v>73</v>
      </c>
    </row>
    <row r="11" spans="2:6" ht="47.25" x14ac:dyDescent="0.2">
      <c r="B11" s="438"/>
      <c r="C11" s="440" t="s">
        <v>21</v>
      </c>
      <c r="D11" s="77" t="s">
        <v>22</v>
      </c>
      <c r="E11" s="78" t="s">
        <v>75</v>
      </c>
      <c r="F11" s="80" t="s">
        <v>73</v>
      </c>
    </row>
    <row r="12" spans="2:6" ht="47.25" x14ac:dyDescent="0.2">
      <c r="B12" s="438"/>
      <c r="C12" s="440"/>
      <c r="D12" s="77" t="s">
        <v>23</v>
      </c>
      <c r="E12" s="78" t="s">
        <v>76</v>
      </c>
      <c r="F12" s="80" t="s">
        <v>73</v>
      </c>
    </row>
    <row r="13" spans="2:6" ht="31.5" x14ac:dyDescent="0.2">
      <c r="B13" s="438"/>
      <c r="C13" s="440" t="s">
        <v>24</v>
      </c>
      <c r="D13" s="77" t="s">
        <v>114</v>
      </c>
      <c r="E13" s="78" t="s">
        <v>117</v>
      </c>
      <c r="F13" s="80" t="s">
        <v>73</v>
      </c>
    </row>
    <row r="14" spans="2:6" ht="32.25" thickBot="1" x14ac:dyDescent="0.25">
      <c r="B14" s="441"/>
      <c r="C14" s="442"/>
      <c r="D14" s="81" t="s">
        <v>115</v>
      </c>
      <c r="E14" s="82" t="s">
        <v>116</v>
      </c>
      <c r="F14" s="83" t="s">
        <v>73</v>
      </c>
    </row>
    <row r="15" spans="2:6" ht="49.5" customHeight="1" x14ac:dyDescent="0.2">
      <c r="B15" s="434" t="s">
        <v>148</v>
      </c>
      <c r="C15" s="434"/>
      <c r="D15" s="434"/>
      <c r="E15" s="434"/>
      <c r="F15" s="434"/>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Intructivo!Área_de_impresión</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2022-09-02T14:35:55Z</cp:lastPrinted>
  <dcterms:created xsi:type="dcterms:W3CDTF">2020-03-24T23:12:47Z</dcterms:created>
  <dcterms:modified xsi:type="dcterms:W3CDTF">2023-04-26T15:48:19Z</dcterms:modified>
</cp:coreProperties>
</file>